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xr:revisionPtr revIDLastSave="0" documentId="13_ncr:1_{BF4E2A9D-211F-444B-8A6B-608EF2382756}" xr6:coauthVersionLast="47" xr6:coauthVersionMax="47" xr10:uidLastSave="{00000000-0000-0000-0000-000000000000}"/>
  <bookViews>
    <workbookView xWindow="3930" yWindow="3150" windowWidth="28800" windowHeight="15345" xr2:uid="{00000000-000D-0000-FFFF-FFFF00000000}"/>
  </bookViews>
  <sheets>
    <sheet name="Resumen" sheetId="1" r:id="rId1"/>
    <sheet name="Supuestos" sheetId="2" r:id="rId2"/>
    <sheet name="Proyeccion" sheetId="3" r:id="rId3"/>
    <sheet name="Valoracion" sheetId="4" r:id="rId4"/>
    <sheet name="Escenarios" sheetId="5" r:id="rId5"/>
    <sheet name="Sensibilidad" sheetId="6" r:id="rId6"/>
    <sheet name="Trafico_Mensual" sheetId="7" r:id="rId7"/>
    <sheet name="Jet_Fuel" sheetId="8" r:id="rId8"/>
    <sheet name="Hist_Trim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6" i="9" l="1"/>
  <c r="O26" i="9"/>
  <c r="N26" i="9"/>
  <c r="M26" i="9"/>
  <c r="L26" i="9"/>
  <c r="K26" i="9"/>
  <c r="J26" i="9"/>
  <c r="I26" i="9"/>
  <c r="H26" i="9"/>
  <c r="G26" i="9"/>
  <c r="F26" i="9"/>
  <c r="E26" i="9"/>
  <c r="D26" i="9"/>
  <c r="C26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P24" i="9"/>
  <c r="D18" i="3" s="1"/>
  <c r="O24" i="9"/>
  <c r="C18" i="3" s="1"/>
  <c r="N24" i="9"/>
  <c r="M24" i="9"/>
  <c r="L24" i="9"/>
  <c r="K24" i="9"/>
  <c r="J24" i="9"/>
  <c r="I24" i="9"/>
  <c r="H24" i="9"/>
  <c r="G24" i="9"/>
  <c r="F24" i="9"/>
  <c r="E24" i="9"/>
  <c r="D24" i="9"/>
  <c r="C24" i="9"/>
  <c r="P23" i="9"/>
  <c r="D14" i="3" s="1"/>
  <c r="O23" i="9"/>
  <c r="C14" i="3" s="1"/>
  <c r="N23" i="9"/>
  <c r="J10" i="3" s="1"/>
  <c r="M23" i="9"/>
  <c r="I10" i="3" s="1"/>
  <c r="L23" i="9"/>
  <c r="H10" i="3" s="1"/>
  <c r="H14" i="3" s="1"/>
  <c r="K23" i="9"/>
  <c r="G10" i="3" s="1"/>
  <c r="G14" i="3" s="1"/>
  <c r="J23" i="9"/>
  <c r="I23" i="9"/>
  <c r="H23" i="9"/>
  <c r="G23" i="9"/>
  <c r="F23" i="9"/>
  <c r="E23" i="9"/>
  <c r="D23" i="9"/>
  <c r="C23" i="9"/>
  <c r="P22" i="9"/>
  <c r="O22" i="9"/>
  <c r="N22" i="9"/>
  <c r="M22" i="9"/>
  <c r="I9" i="3" s="1"/>
  <c r="L22" i="9"/>
  <c r="H9" i="3" s="1"/>
  <c r="K22" i="9"/>
  <c r="G9" i="3" s="1"/>
  <c r="J22" i="9"/>
  <c r="I22" i="9"/>
  <c r="H22" i="9"/>
  <c r="G22" i="9"/>
  <c r="F22" i="9"/>
  <c r="E22" i="9"/>
  <c r="D22" i="9"/>
  <c r="C22" i="9"/>
  <c r="P21" i="9"/>
  <c r="D21" i="3" s="1"/>
  <c r="O21" i="9"/>
  <c r="C21" i="3" s="1"/>
  <c r="N21" i="9"/>
  <c r="F8" i="3" s="1"/>
  <c r="M21" i="9"/>
  <c r="E8" i="3" s="1"/>
  <c r="L21" i="9"/>
  <c r="K21" i="9"/>
  <c r="G8" i="3" s="1"/>
  <c r="J21" i="9"/>
  <c r="I21" i="9"/>
  <c r="H21" i="9"/>
  <c r="G21" i="9"/>
  <c r="F21" i="9"/>
  <c r="E21" i="9"/>
  <c r="D21" i="9"/>
  <c r="C21" i="9"/>
  <c r="P20" i="9"/>
  <c r="O20" i="9"/>
  <c r="N20" i="9"/>
  <c r="J7" i="3" s="1"/>
  <c r="M20" i="9"/>
  <c r="E7" i="3" s="1"/>
  <c r="L20" i="9"/>
  <c r="K20" i="9"/>
  <c r="G7" i="3" s="1"/>
  <c r="J20" i="9"/>
  <c r="I20" i="9"/>
  <c r="H20" i="9"/>
  <c r="G20" i="9"/>
  <c r="F20" i="9"/>
  <c r="E20" i="9"/>
  <c r="D20" i="9"/>
  <c r="C20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C19" i="9"/>
  <c r="F71" i="8"/>
  <c r="E71" i="8"/>
  <c r="F70" i="8"/>
  <c r="E70" i="8"/>
  <c r="F69" i="8"/>
  <c r="E69" i="8"/>
  <c r="F68" i="8"/>
  <c r="E68" i="8"/>
  <c r="F67" i="8"/>
  <c r="E67" i="8"/>
  <c r="F66" i="8"/>
  <c r="E66" i="8"/>
  <c r="F65" i="8"/>
  <c r="E65" i="8"/>
  <c r="F64" i="8"/>
  <c r="E64" i="8"/>
  <c r="F63" i="8"/>
  <c r="E63" i="8"/>
  <c r="F62" i="8"/>
  <c r="E62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T35" i="7"/>
  <c r="S35" i="7"/>
  <c r="R35" i="7"/>
  <c r="Q35" i="7"/>
  <c r="P35" i="7"/>
  <c r="N35" i="7"/>
  <c r="T34" i="7"/>
  <c r="S34" i="7"/>
  <c r="R34" i="7"/>
  <c r="Q34" i="7"/>
  <c r="P34" i="7"/>
  <c r="N34" i="7"/>
  <c r="T33" i="7"/>
  <c r="S33" i="7"/>
  <c r="R33" i="7"/>
  <c r="Q33" i="7"/>
  <c r="P33" i="7"/>
  <c r="N33" i="7"/>
  <c r="T32" i="7"/>
  <c r="S32" i="7"/>
  <c r="R32" i="7"/>
  <c r="Q32" i="7"/>
  <c r="P32" i="7"/>
  <c r="N32" i="7"/>
  <c r="T31" i="7"/>
  <c r="S31" i="7"/>
  <c r="R31" i="7"/>
  <c r="Q31" i="7"/>
  <c r="P31" i="7"/>
  <c r="N31" i="7"/>
  <c r="T30" i="7"/>
  <c r="S30" i="7"/>
  <c r="R30" i="7"/>
  <c r="Q30" i="7"/>
  <c r="P30" i="7"/>
  <c r="N30" i="7"/>
  <c r="T29" i="7"/>
  <c r="S29" i="7"/>
  <c r="R29" i="7"/>
  <c r="Q29" i="7"/>
  <c r="P29" i="7"/>
  <c r="N29" i="7"/>
  <c r="T28" i="7"/>
  <c r="S28" i="7"/>
  <c r="R28" i="7"/>
  <c r="Q28" i="7"/>
  <c r="P28" i="7"/>
  <c r="N28" i="7"/>
  <c r="T27" i="7"/>
  <c r="S27" i="7"/>
  <c r="R27" i="7"/>
  <c r="Q27" i="7"/>
  <c r="P27" i="7"/>
  <c r="N27" i="7"/>
  <c r="T26" i="7"/>
  <c r="S26" i="7"/>
  <c r="R26" i="7"/>
  <c r="Q26" i="7"/>
  <c r="P26" i="7"/>
  <c r="N26" i="7"/>
  <c r="T25" i="7"/>
  <c r="S25" i="7"/>
  <c r="R25" i="7"/>
  <c r="Q25" i="7"/>
  <c r="P25" i="7"/>
  <c r="N25" i="7"/>
  <c r="T24" i="7"/>
  <c r="S24" i="7"/>
  <c r="R24" i="7"/>
  <c r="Q24" i="7"/>
  <c r="P24" i="7"/>
  <c r="N24" i="7"/>
  <c r="T23" i="7"/>
  <c r="S23" i="7"/>
  <c r="R23" i="7"/>
  <c r="Q23" i="7"/>
  <c r="P23" i="7"/>
  <c r="N23" i="7"/>
  <c r="T22" i="7"/>
  <c r="S22" i="7"/>
  <c r="R22" i="7"/>
  <c r="Q22" i="7"/>
  <c r="P22" i="7"/>
  <c r="N22" i="7"/>
  <c r="O34" i="7" s="1"/>
  <c r="T21" i="7"/>
  <c r="S21" i="7"/>
  <c r="R21" i="7"/>
  <c r="Q21" i="7"/>
  <c r="P21" i="7"/>
  <c r="N21" i="7"/>
  <c r="T20" i="7"/>
  <c r="S20" i="7"/>
  <c r="R20" i="7"/>
  <c r="Q20" i="7"/>
  <c r="P20" i="7"/>
  <c r="N20" i="7"/>
  <c r="T19" i="7"/>
  <c r="S19" i="7"/>
  <c r="R19" i="7"/>
  <c r="Q19" i="7"/>
  <c r="P19" i="7"/>
  <c r="N19" i="7"/>
  <c r="O31" i="7" s="1"/>
  <c r="T18" i="7"/>
  <c r="S18" i="7"/>
  <c r="R18" i="7"/>
  <c r="Q18" i="7"/>
  <c r="P18" i="7"/>
  <c r="N18" i="7"/>
  <c r="T17" i="7"/>
  <c r="S17" i="7"/>
  <c r="R17" i="7"/>
  <c r="Q17" i="7"/>
  <c r="P17" i="7"/>
  <c r="N17" i="7"/>
  <c r="O29" i="7" s="1"/>
  <c r="T16" i="7"/>
  <c r="S16" i="7"/>
  <c r="R16" i="7"/>
  <c r="Q16" i="7"/>
  <c r="P16" i="7"/>
  <c r="N16" i="7"/>
  <c r="T15" i="7"/>
  <c r="S15" i="7"/>
  <c r="R15" i="7"/>
  <c r="N15" i="7"/>
  <c r="T14" i="7"/>
  <c r="S14" i="7"/>
  <c r="R14" i="7"/>
  <c r="N14" i="7"/>
  <c r="T13" i="7"/>
  <c r="S13" i="7"/>
  <c r="R13" i="7"/>
  <c r="N13" i="7"/>
  <c r="T12" i="7"/>
  <c r="S12" i="7"/>
  <c r="R12" i="7"/>
  <c r="N12" i="7"/>
  <c r="T11" i="7"/>
  <c r="S11" i="7"/>
  <c r="R11" i="7"/>
  <c r="N11" i="7"/>
  <c r="T10" i="7"/>
  <c r="S10" i="7"/>
  <c r="R10" i="7"/>
  <c r="N10" i="7"/>
  <c r="T9" i="7"/>
  <c r="S9" i="7"/>
  <c r="R9" i="7"/>
  <c r="N9" i="7"/>
  <c r="T8" i="7"/>
  <c r="S8" i="7"/>
  <c r="R8" i="7"/>
  <c r="N8" i="7"/>
  <c r="T7" i="7"/>
  <c r="S7" i="7"/>
  <c r="R7" i="7"/>
  <c r="N7" i="7"/>
  <c r="T6" i="7"/>
  <c r="S6" i="7"/>
  <c r="R6" i="7"/>
  <c r="N6" i="7"/>
  <c r="O18" i="7" s="1"/>
  <c r="T5" i="7"/>
  <c r="S5" i="7"/>
  <c r="R5" i="7"/>
  <c r="N5" i="7"/>
  <c r="T4" i="7"/>
  <c r="S4" i="7"/>
  <c r="R4" i="7"/>
  <c r="N4" i="7"/>
  <c r="D41" i="3"/>
  <c r="D42" i="3" s="1"/>
  <c r="C41" i="3"/>
  <c r="C42" i="3" s="1"/>
  <c r="D34" i="3"/>
  <c r="C34" i="3"/>
  <c r="D33" i="3"/>
  <c r="C33" i="3"/>
  <c r="D31" i="3"/>
  <c r="C31" i="3"/>
  <c r="D29" i="3"/>
  <c r="C29" i="3"/>
  <c r="D28" i="3"/>
  <c r="C28" i="3"/>
  <c r="D26" i="3"/>
  <c r="C26" i="3"/>
  <c r="D25" i="3"/>
  <c r="C25" i="3"/>
  <c r="D20" i="3"/>
  <c r="C20" i="3"/>
  <c r="D15" i="3"/>
  <c r="C15" i="3"/>
  <c r="D13" i="3"/>
  <c r="C13" i="3"/>
  <c r="J9" i="3"/>
  <c r="F9" i="3"/>
  <c r="J8" i="3"/>
  <c r="I8" i="3"/>
  <c r="H8" i="3"/>
  <c r="I7" i="3"/>
  <c r="H7" i="3"/>
  <c r="F7" i="3"/>
  <c r="J6" i="3"/>
  <c r="I6" i="3"/>
  <c r="H6" i="3"/>
  <c r="G6" i="3"/>
  <c r="F6" i="3"/>
  <c r="E6" i="3"/>
  <c r="F63" i="2"/>
  <c r="C8" i="4" s="1"/>
  <c r="F62" i="2"/>
  <c r="C5" i="4" s="1"/>
  <c r="C7" i="4" s="1"/>
  <c r="F61" i="2"/>
  <c r="C25" i="4" s="1"/>
  <c r="F60" i="2"/>
  <c r="C18" i="4" s="1"/>
  <c r="F59" i="2"/>
  <c r="F58" i="2"/>
  <c r="F57" i="2"/>
  <c r="H39" i="4" s="1"/>
  <c r="F56" i="2"/>
  <c r="F55" i="2"/>
  <c r="F54" i="2"/>
  <c r="F53" i="2"/>
  <c r="F52" i="2"/>
  <c r="J52" i="3" s="1"/>
  <c r="F51" i="2"/>
  <c r="F50" i="2"/>
  <c r="G48" i="3" s="1"/>
  <c r="F49" i="2"/>
  <c r="J50" i="3" s="1"/>
  <c r="F48" i="2"/>
  <c r="I49" i="3" s="1"/>
  <c r="F47" i="2"/>
  <c r="F46" i="2"/>
  <c r="I38" i="3" s="1"/>
  <c r="F45" i="2"/>
  <c r="F37" i="3" s="1"/>
  <c r="F47" i="3" s="1"/>
  <c r="F44" i="2"/>
  <c r="F43" i="2"/>
  <c r="F42" i="2"/>
  <c r="H39" i="2"/>
  <c r="J33" i="3" s="1"/>
  <c r="G39" i="2"/>
  <c r="I33" i="3" s="1"/>
  <c r="F39" i="2"/>
  <c r="H33" i="3" s="1"/>
  <c r="E39" i="2"/>
  <c r="G33" i="3" s="1"/>
  <c r="D39" i="2"/>
  <c r="F33" i="3" s="1"/>
  <c r="C34" i="4" s="1"/>
  <c r="C39" i="2"/>
  <c r="E33" i="3" s="1"/>
  <c r="H38" i="2"/>
  <c r="J27" i="3" s="1"/>
  <c r="G38" i="2"/>
  <c r="I27" i="3" s="1"/>
  <c r="F38" i="2"/>
  <c r="H27" i="3" s="1"/>
  <c r="E38" i="2"/>
  <c r="G27" i="3" s="1"/>
  <c r="D38" i="2"/>
  <c r="F27" i="3" s="1"/>
  <c r="F28" i="3" s="1"/>
  <c r="C38" i="2"/>
  <c r="E27" i="3" s="1"/>
  <c r="H37" i="2"/>
  <c r="J24" i="3" s="1"/>
  <c r="G37" i="2"/>
  <c r="I24" i="3" s="1"/>
  <c r="F37" i="2"/>
  <c r="H24" i="3" s="1"/>
  <c r="E37" i="2"/>
  <c r="G24" i="3" s="1"/>
  <c r="D37" i="2"/>
  <c r="F24" i="3" s="1"/>
  <c r="C37" i="2"/>
  <c r="E24" i="3" s="1"/>
  <c r="H36" i="2"/>
  <c r="J23" i="3" s="1"/>
  <c r="G36" i="2"/>
  <c r="I23" i="3" s="1"/>
  <c r="F36" i="2"/>
  <c r="H23" i="3" s="1"/>
  <c r="E36" i="2"/>
  <c r="G23" i="3" s="1"/>
  <c r="D36" i="2"/>
  <c r="F23" i="3" s="1"/>
  <c r="C36" i="2"/>
  <c r="E23" i="3" s="1"/>
  <c r="H35" i="2"/>
  <c r="J12" i="3" s="1"/>
  <c r="G35" i="2"/>
  <c r="I12" i="3" s="1"/>
  <c r="F35" i="2"/>
  <c r="H12" i="3" s="1"/>
  <c r="H13" i="3" s="1"/>
  <c r="E35" i="2"/>
  <c r="G12" i="3" s="1"/>
  <c r="G13" i="3" s="1"/>
  <c r="D35" i="2"/>
  <c r="F12" i="3" s="1"/>
  <c r="C35" i="2"/>
  <c r="E12" i="3" s="1"/>
  <c r="H34" i="2"/>
  <c r="J19" i="3" s="1"/>
  <c r="G34" i="2"/>
  <c r="I19" i="3" s="1"/>
  <c r="F34" i="2"/>
  <c r="H19" i="3" s="1"/>
  <c r="E34" i="2"/>
  <c r="G19" i="3" s="1"/>
  <c r="D34" i="2"/>
  <c r="F19" i="3" s="1"/>
  <c r="C34" i="2"/>
  <c r="E19" i="3" s="1"/>
  <c r="H33" i="2"/>
  <c r="J16" i="3" s="1"/>
  <c r="G33" i="2"/>
  <c r="I16" i="3" s="1"/>
  <c r="F33" i="2"/>
  <c r="H16" i="3" s="1"/>
  <c r="E33" i="2"/>
  <c r="G16" i="3" s="1"/>
  <c r="D33" i="2"/>
  <c r="F16" i="3" s="1"/>
  <c r="C33" i="2"/>
  <c r="E16" i="3" s="1"/>
  <c r="D3" i="2"/>
  <c r="C11" i="1" s="1"/>
  <c r="D8" i="1"/>
  <c r="D7" i="1"/>
  <c r="D6" i="1"/>
  <c r="D5" i="1"/>
  <c r="O24" i="7" l="1"/>
  <c r="E9" i="3"/>
  <c r="E28" i="3" s="1"/>
  <c r="C32" i="3"/>
  <c r="C35" i="3"/>
  <c r="D32" i="3"/>
  <c r="O25" i="7"/>
  <c r="I28" i="3"/>
  <c r="O32" i="7"/>
  <c r="G28" i="3"/>
  <c r="G29" i="3" s="1"/>
  <c r="H28" i="3"/>
  <c r="E10" i="3"/>
  <c r="E14" i="3" s="1"/>
  <c r="D35" i="3"/>
  <c r="O27" i="7"/>
  <c r="O23" i="7"/>
  <c r="F10" i="3"/>
  <c r="F14" i="3" s="1"/>
  <c r="E37" i="3"/>
  <c r="E47" i="3" s="1"/>
  <c r="O30" i="7"/>
  <c r="O26" i="7"/>
  <c r="E13" i="3"/>
  <c r="J14" i="3"/>
  <c r="O28" i="7"/>
  <c r="O33" i="7"/>
  <c r="H15" i="3"/>
  <c r="F13" i="3"/>
  <c r="J13" i="3" s="1"/>
  <c r="O16" i="7"/>
  <c r="E45" i="3"/>
  <c r="E48" i="3"/>
  <c r="J38" i="3"/>
  <c r="J49" i="3"/>
  <c r="E50" i="3"/>
  <c r="G50" i="3"/>
  <c r="G37" i="3"/>
  <c r="G47" i="3" s="1"/>
  <c r="F50" i="3"/>
  <c r="H50" i="3"/>
  <c r="I50" i="3"/>
  <c r="I14" i="3"/>
  <c r="C9" i="4"/>
  <c r="G15" i="3"/>
  <c r="G17" i="3"/>
  <c r="G18" i="3"/>
  <c r="H17" i="3"/>
  <c r="H18" i="3" s="1"/>
  <c r="H20" i="3" s="1"/>
  <c r="H21" i="3" s="1"/>
  <c r="H25" i="3" s="1"/>
  <c r="H26" i="3" s="1"/>
  <c r="L33" i="3"/>
  <c r="H29" i="3"/>
  <c r="K33" i="3"/>
  <c r="E17" i="3"/>
  <c r="E18" i="3" s="1"/>
  <c r="F29" i="3"/>
  <c r="F17" i="3"/>
  <c r="F18" i="3" s="1"/>
  <c r="J28" i="3"/>
  <c r="H37" i="3"/>
  <c r="H47" i="3" s="1"/>
  <c r="H48" i="3"/>
  <c r="O21" i="7"/>
  <c r="J17" i="3"/>
  <c r="J18" i="3" s="1"/>
  <c r="I37" i="3"/>
  <c r="I47" i="3" s="1"/>
  <c r="I48" i="3"/>
  <c r="C39" i="4"/>
  <c r="J37" i="3"/>
  <c r="J47" i="3" s="1"/>
  <c r="J48" i="3"/>
  <c r="E52" i="3"/>
  <c r="D39" i="4"/>
  <c r="O19" i="7"/>
  <c r="O35" i="7"/>
  <c r="E38" i="3"/>
  <c r="E49" i="3"/>
  <c r="F52" i="3"/>
  <c r="E39" i="4"/>
  <c r="F38" i="3"/>
  <c r="F49" i="3"/>
  <c r="G52" i="3"/>
  <c r="F39" i="4"/>
  <c r="O17" i="7"/>
  <c r="G38" i="3"/>
  <c r="G49" i="3"/>
  <c r="H52" i="3"/>
  <c r="C37" i="4"/>
  <c r="G39" i="4"/>
  <c r="I17" i="3"/>
  <c r="I18" i="3" s="1"/>
  <c r="H38" i="3"/>
  <c r="H49" i="3"/>
  <c r="I52" i="3"/>
  <c r="D37" i="4"/>
  <c r="O22" i="7"/>
  <c r="O20" i="7"/>
  <c r="F48" i="3"/>
  <c r="E29" i="3" l="1"/>
  <c r="J15" i="3"/>
  <c r="J20" i="3" s="1"/>
  <c r="J21" i="3" s="1"/>
  <c r="J25" i="3" s="1"/>
  <c r="J26" i="3" s="1"/>
  <c r="H31" i="3"/>
  <c r="K29" i="3"/>
  <c r="E15" i="3"/>
  <c r="E20" i="3" s="1"/>
  <c r="I13" i="3"/>
  <c r="F15" i="3"/>
  <c r="K15" i="3" s="1"/>
  <c r="K13" i="3"/>
  <c r="I15" i="3"/>
  <c r="J29" i="3"/>
  <c r="L13" i="3"/>
  <c r="I29" i="3"/>
  <c r="L29" i="3" s="1"/>
  <c r="L28" i="3" s="1"/>
  <c r="F20" i="3"/>
  <c r="F21" i="3" s="1"/>
  <c r="F25" i="3" s="1"/>
  <c r="F26" i="3" s="1"/>
  <c r="H34" i="3"/>
  <c r="H32" i="3"/>
  <c r="H39" i="3"/>
  <c r="G20" i="3"/>
  <c r="C11" i="4"/>
  <c r="J34" i="4"/>
  <c r="D34" i="4"/>
  <c r="K28" i="3" l="1"/>
  <c r="J31" i="3"/>
  <c r="J39" i="3" s="1"/>
  <c r="L15" i="3"/>
  <c r="I20" i="3"/>
  <c r="I21" i="3" s="1"/>
  <c r="I25" i="3" s="1"/>
  <c r="I26" i="3" s="1"/>
  <c r="I31" i="3" s="1"/>
  <c r="H35" i="3"/>
  <c r="H46" i="3"/>
  <c r="E21" i="3"/>
  <c r="E25" i="3" s="1"/>
  <c r="E26" i="3" s="1"/>
  <c r="K20" i="3"/>
  <c r="F31" i="3"/>
  <c r="C32" i="4"/>
  <c r="I34" i="3"/>
  <c r="I39" i="3"/>
  <c r="I32" i="3"/>
  <c r="L20" i="3"/>
  <c r="G21" i="3"/>
  <c r="G25" i="3" s="1"/>
  <c r="G26" i="3" s="1"/>
  <c r="H40" i="3"/>
  <c r="H41" i="3" s="1"/>
  <c r="H42" i="3" s="1"/>
  <c r="J32" i="3"/>
  <c r="J34" i="3"/>
  <c r="J46" i="3" l="1"/>
  <c r="J35" i="3"/>
  <c r="G31" i="3"/>
  <c r="L26" i="3"/>
  <c r="I40" i="3"/>
  <c r="I41" i="3" s="1"/>
  <c r="I42" i="3" s="1"/>
  <c r="K21" i="3"/>
  <c r="K18" i="3"/>
  <c r="J40" i="3"/>
  <c r="J41" i="3" s="1"/>
  <c r="J42" i="3" s="1"/>
  <c r="L18" i="3"/>
  <c r="L21" i="3"/>
  <c r="I35" i="3"/>
  <c r="I46" i="3"/>
  <c r="F34" i="3"/>
  <c r="F32" i="3"/>
  <c r="F39" i="3"/>
  <c r="E31" i="3"/>
  <c r="K26" i="3"/>
  <c r="K25" i="3" s="1"/>
  <c r="F35" i="3" l="1"/>
  <c r="C13" i="1"/>
  <c r="F46" i="3"/>
  <c r="C33" i="4"/>
  <c r="J32" i="4"/>
  <c r="E32" i="4" s="1"/>
  <c r="L25" i="3"/>
  <c r="D32" i="4"/>
  <c r="G32" i="3"/>
  <c r="L31" i="3"/>
  <c r="L32" i="3" s="1"/>
  <c r="G39" i="3"/>
  <c r="G34" i="3"/>
  <c r="E32" i="3"/>
  <c r="E34" i="3"/>
  <c r="E39" i="3"/>
  <c r="K31" i="3"/>
  <c r="K32" i="3" s="1"/>
  <c r="F41" i="3"/>
  <c r="F42" i="3" s="1"/>
  <c r="F40" i="3"/>
  <c r="E40" i="3" l="1"/>
  <c r="E41" i="3" s="1"/>
  <c r="K39" i="3"/>
  <c r="G35" i="3"/>
  <c r="G46" i="3"/>
  <c r="L34" i="3"/>
  <c r="E35" i="3"/>
  <c r="C12" i="1"/>
  <c r="E46" i="3"/>
  <c r="E53" i="3" s="1"/>
  <c r="K34" i="3"/>
  <c r="G40" i="3"/>
  <c r="G41" i="3" s="1"/>
  <c r="L39" i="3"/>
  <c r="E37" i="4"/>
  <c r="F32" i="4"/>
  <c r="E34" i="4"/>
  <c r="C35" i="4"/>
  <c r="C36" i="4" s="1"/>
  <c r="C38" i="4" s="1"/>
  <c r="C40" i="4" s="1"/>
  <c r="K41" i="3" l="1"/>
  <c r="E42" i="3"/>
  <c r="K42" i="3" s="1"/>
  <c r="G42" i="3"/>
  <c r="L42" i="3" s="1"/>
  <c r="L41" i="3"/>
  <c r="K35" i="3"/>
  <c r="C14" i="1"/>
  <c r="C12" i="4"/>
  <c r="F37" i="4"/>
  <c r="G32" i="4"/>
  <c r="F34" i="4"/>
  <c r="F45" i="3"/>
  <c r="C47" i="4"/>
  <c r="D33" i="4"/>
  <c r="C15" i="1"/>
  <c r="L35" i="3"/>
  <c r="J33" i="4"/>
  <c r="F33" i="4" s="1"/>
  <c r="C19" i="4"/>
  <c r="C13" i="4"/>
  <c r="C18" i="1" s="1"/>
  <c r="D35" i="4" l="1"/>
  <c r="D36" i="4" s="1"/>
  <c r="D38" i="4" s="1"/>
  <c r="D40" i="4" s="1"/>
  <c r="F35" i="4"/>
  <c r="F36" i="4" s="1"/>
  <c r="F38" i="4" s="1"/>
  <c r="F40" i="4" s="1"/>
  <c r="G33" i="4"/>
  <c r="G37" i="4"/>
  <c r="H32" i="4"/>
  <c r="G34" i="4"/>
  <c r="C14" i="4"/>
  <c r="F51" i="3"/>
  <c r="H51" i="3"/>
  <c r="C16" i="1"/>
  <c r="J51" i="3"/>
  <c r="C15" i="4"/>
  <c r="C26" i="4"/>
  <c r="C27" i="4" s="1"/>
  <c r="D56" i="4" s="1"/>
  <c r="K33" i="4"/>
  <c r="E33" i="4"/>
  <c r="C49" i="4" l="1"/>
  <c r="H33" i="4"/>
  <c r="H34" i="4"/>
  <c r="H37" i="4"/>
  <c r="E35" i="4"/>
  <c r="E36" i="4" s="1"/>
  <c r="E38" i="4" s="1"/>
  <c r="E40" i="4" s="1"/>
  <c r="G35" i="4"/>
  <c r="G36" i="4" s="1"/>
  <c r="G38" i="4" s="1"/>
  <c r="G40" i="4" s="1"/>
  <c r="F53" i="3"/>
  <c r="K53" i="3" l="1"/>
  <c r="K54" i="3" s="1"/>
  <c r="C17" i="1" s="1"/>
  <c r="C20" i="4"/>
  <c r="C21" i="4" s="1"/>
  <c r="C22" i="4" s="1"/>
  <c r="D54" i="4" s="1"/>
  <c r="G45" i="3"/>
  <c r="G53" i="3" s="1"/>
  <c r="H45" i="3" s="1"/>
  <c r="H53" i="3" s="1"/>
  <c r="I45" i="3" s="1"/>
  <c r="I53" i="3" s="1"/>
  <c r="J45" i="3" s="1"/>
  <c r="J53" i="3" s="1"/>
  <c r="L53" i="3" s="1"/>
  <c r="L54" i="3" s="1"/>
  <c r="H35" i="4"/>
  <c r="H36" i="4" s="1"/>
  <c r="H38" i="4" s="1"/>
  <c r="C43" i="4" l="1"/>
  <c r="C44" i="4" s="1"/>
  <c r="H40" i="4"/>
  <c r="C42" i="4" s="1"/>
  <c r="C45" i="4" l="1"/>
  <c r="C48" i="4" s="1"/>
  <c r="C50" i="4" s="1"/>
  <c r="C51" i="4" s="1"/>
  <c r="D55" i="4" s="1"/>
  <c r="D57" i="4" s="1"/>
  <c r="C46" i="4" l="1"/>
  <c r="D58" i="4"/>
  <c r="C19" i="1"/>
</calcChain>
</file>

<file path=xl/sharedStrings.xml><?xml version="1.0" encoding="utf-8"?>
<sst xmlns="http://schemas.openxmlformats.org/spreadsheetml/2006/main" count="533" uniqueCount="375">
  <si>
    <t>LTM (LATAM Airlines Group) — Modelo sep-2026</t>
  </si>
  <si>
    <t>Precio de referencia CLP 25.05 (24-sep-2026), dolar 959.39. USD MM salvo indicacion.</t>
  </si>
  <si>
    <t>Precio objetivo</t>
  </si>
  <si>
    <t>CLP</t>
  </si>
  <si>
    <t>vs precio</t>
  </si>
  <si>
    <t>Bear (25%)</t>
  </si>
  <si>
    <t>Base (50%)</t>
  </si>
  <si>
    <t>Bull (25%)</t>
  </si>
  <si>
    <t>Ponderado por probabilidad</t>
  </si>
  <si>
    <t>Escenario activo en Supuestos!C3 (formulas vivas)</t>
  </si>
  <si>
    <t>Escenario</t>
  </si>
  <si>
    <t>EBITDA 3T26E</t>
  </si>
  <si>
    <t>EBITDA 4T26E</t>
  </si>
  <si>
    <t>EBITDA 2026E</t>
  </si>
  <si>
    <t>EBITDA 2027E</t>
  </si>
  <si>
    <t>Utilidad 2027E</t>
  </si>
  <si>
    <t>Deuda neta / EBITDA dic-26E</t>
  </si>
  <si>
    <t>EV/EBITDA 2027E al precio de hoy</t>
  </si>
  <si>
    <t>Precio objetivo del escenario (CLP)</t>
  </si>
  <si>
    <t>Chequeo: el modelo con el jet de la guia de agosto (3T 147 / 4T 130)</t>
  </si>
  <si>
    <t>EBITDA 2026</t>
  </si>
  <si>
    <t>guia: 4,100-4,400</t>
  </si>
  <si>
    <t>Resultado operacional 2026</t>
  </si>
  <si>
    <t>guia: 2,100-2,300</t>
  </si>
  <si>
    <t>Margen operacional 2026</t>
  </si>
  <si>
    <t>guia: 12-13%</t>
  </si>
  <si>
    <t>Ingresos 2026</t>
  </si>
  <si>
    <t>guia: 17,300-17,700</t>
  </si>
  <si>
    <t>CASK ex fuel ajustado (US cents)</t>
  </si>
  <si>
    <t>guia: 5.00-5.20</t>
  </si>
  <si>
    <t>Supuestos (inputs en azul) -&gt; Proyeccion -&gt; Valoracion. Escenarios y Sensibilidad = valores del motor Python (carpeta modelo_2026-09).</t>
  </si>
  <si>
    <t>LTM — Supuestos del modelo (azul = input; cambiar el escenario en C3)</t>
  </si>
  <si>
    <t>Escenario activo (1 Bear, 2 Base, 3 Bull)</t>
  </si>
  <si>
    <t>Escenario Bear</t>
  </si>
  <si>
    <t>3Q26</t>
  </si>
  <si>
    <t>4Q26</t>
  </si>
  <si>
    <t>1Q27</t>
  </si>
  <si>
    <t>2Q27</t>
  </si>
  <si>
    <t>3Q27</t>
  </si>
  <si>
    <t>4Q27</t>
  </si>
  <si>
    <t>Jet fuel USGC con rezago (USD/bbl)</t>
  </si>
  <si>
    <t>Ganancia de coberturas (USD MM)</t>
  </si>
  <si>
    <t>Crecimiento ASK a/a</t>
  </si>
  <si>
    <t>u: RASK subyacente vs mismo trimestre 2025</t>
  </si>
  <si>
    <t>theta: traspaso del combustible a tarifa</t>
  </si>
  <si>
    <t>c: CASK ex fuel vs mismo trimestre 2025</t>
  </si>
  <si>
    <t>D&amp;A (USD MM)</t>
  </si>
  <si>
    <t>Escenario Base</t>
  </si>
  <si>
    <t>Escenario Bull</t>
  </si>
  <si>
    <t>ACTIVO (lo que usa la Proyeccion)</t>
  </si>
  <si>
    <t>Parametros escalares</t>
  </si>
  <si>
    <t>Bear</t>
  </si>
  <si>
    <t>Base</t>
  </si>
  <si>
    <t>Bull</t>
  </si>
  <si>
    <t>Activo</t>
  </si>
  <si>
    <t>Nota</t>
  </si>
  <si>
    <t>Diferencial pagado: parte fija a (USD/bbl)</t>
  </si>
  <si>
    <t>a en a + b x jet</t>
  </si>
  <si>
    <t>Diferencial pagado: parte proporcional b</t>
  </si>
  <si>
    <t>b en a + b x jet</t>
  </si>
  <si>
    <t>Mejora anual de galones por ASK</t>
  </si>
  <si>
    <t>Interes neto trimestral (USD MM)</t>
  </si>
  <si>
    <t>Diferencia de cambio trimestral (USD MM)</t>
  </si>
  <si>
    <t>Tasa de impuesto efectiva 2026-27</t>
  </si>
  <si>
    <t>Capex en caja trimestral (USD MM)</t>
  </si>
  <si>
    <t>Altas de arriendos sin caja, trimestral (USD MM)</t>
  </si>
  <si>
    <t>Impuesto pagado trimestral (USD MM)</t>
  </si>
  <si>
    <t>Payout de dividendos</t>
  </si>
  <si>
    <t>Recompra ejecutada por anio (USD MM)</t>
  </si>
  <si>
    <t>Jet de largo plazo 2028+ (USD/bbl, USGC)</t>
  </si>
  <si>
    <t>Crecimiento ASK 2028-31</t>
  </si>
  <si>
    <t>Inversion total en flota 2028-31 (% ingresos)</t>
  </si>
  <si>
    <t>Tasa de impuesto largo plazo</t>
  </si>
  <si>
    <t>WACC (USD)</t>
  </si>
  <si>
    <t>Rf 5.1% + 1.2 x 5% + 1.2% riesgo pais</t>
  </si>
  <si>
    <t>Costo patrimonial Ke (USD)</t>
  </si>
  <si>
    <t>UST10 5.11% al 23-sep</t>
  </si>
  <si>
    <t>Crecimiento terminal</t>
  </si>
  <si>
    <t>EV/EBITDA objetivo (x) sobre 2027E</t>
  </si>
  <si>
    <t>Copa 5.4x fwd; JPM usa 5.5x</t>
  </si>
  <si>
    <t>P/U objetivo (x) sobre 2027E</t>
  </si>
  <si>
    <t>Dolar observado (CLP)</t>
  </si>
  <si>
    <t>observado 24-sep</t>
  </si>
  <si>
    <t>Deuda neta 30-jun-26 (USD MM, incl. arriendos)</t>
  </si>
  <si>
    <t>EEFF 2T26</t>
  </si>
  <si>
    <t>LTM — Proyeccion trimestral (USD MM salvo indicacion). 1T26 y 2T26 son reales.</t>
  </si>
  <si>
    <t>RASK = RASK del mismo trimestre 2025 x (1+u) + theta x (combustible por ASK - el de 2025). EBITDA = EBIT ajustado + D&amp;A.</t>
  </si>
  <si>
    <t>1Q26</t>
  </si>
  <si>
    <t>2Q26</t>
  </si>
  <si>
    <t>3Q26E</t>
  </si>
  <si>
    <t>4Q26E</t>
  </si>
  <si>
    <t>1Q27E</t>
  </si>
  <si>
    <t>2Q27E</t>
  </si>
  <si>
    <t>3Q27E</t>
  </si>
  <si>
    <t>4Q27E</t>
  </si>
  <si>
    <t>FY26E</t>
  </si>
  <si>
    <t>FY27E</t>
  </si>
  <si>
    <t>Ancla: mismo trimestre de 2025</t>
  </si>
  <si>
    <t>ASK 2025 (MM)</t>
  </si>
  <si>
    <t>RASK 2025 (US cents)</t>
  </si>
  <si>
    <t>Combustible por ASK 2025 (US cents)</t>
  </si>
  <si>
    <t>CASK ex fuel ajustado 2025 (US cents)</t>
  </si>
  <si>
    <t>Galones por ASK 2025 (x1000)</t>
  </si>
  <si>
    <t>ASK (MM)</t>
  </si>
  <si>
    <t>Galones por ASK (x1000)</t>
  </si>
  <si>
    <t>Galones (MM)</t>
  </si>
  <si>
    <t>Jet USGC con rezago (USD/bbl)</t>
  </si>
  <si>
    <t>Diferencial pagado = a + b x jet (USD/bbl)</t>
  </si>
  <si>
    <t>Precio pagado (USD/bbl)</t>
  </si>
  <si>
    <t>Ganancia de coberturas</t>
  </si>
  <si>
    <t>Costo de combustible</t>
  </si>
  <si>
    <t>Combustible por ASK (US cents)</t>
  </si>
  <si>
    <t>u: RASK subyacente</t>
  </si>
  <si>
    <t>theta: traspaso</t>
  </si>
  <si>
    <t>RASK (US cents)</t>
  </si>
  <si>
    <t>Ingresos</t>
  </si>
  <si>
    <t>c: CASK ex fuel</t>
  </si>
  <si>
    <t>Costos sin combustible (incl. D&amp;A)</t>
  </si>
  <si>
    <t>Resultado operacional ajustado</t>
  </si>
  <si>
    <t>Margen operacional ajustado</t>
  </si>
  <si>
    <t>D&amp;A</t>
  </si>
  <si>
    <t>EBITDA ajustado</t>
  </si>
  <si>
    <t>Margen EBITDA ajustado</t>
  </si>
  <si>
    <t>Interes neto</t>
  </si>
  <si>
    <t>Diferencia de cambio</t>
  </si>
  <si>
    <t>Resultado antes de impuesto</t>
  </si>
  <si>
    <t>Impuesto</t>
  </si>
  <si>
    <t>Utilidad controladora</t>
  </si>
  <si>
    <t>Utilidad por ADS (USD)</t>
  </si>
  <si>
    <t>Deuda neta (incluye arriendos IFRS 16)</t>
  </si>
  <si>
    <t>Deuda neta inicial</t>
  </si>
  <si>
    <t>(-) EBITDA ajustado</t>
  </si>
  <si>
    <t>(+) Interes neto</t>
  </si>
  <si>
    <t>(+) Impuesto pagado</t>
  </si>
  <si>
    <t>(+) Capex en caja</t>
  </si>
  <si>
    <t>(+) Altas de arriendos (flota nueva)</t>
  </si>
  <si>
    <t>(+) Dividendos pagados</t>
  </si>
  <si>
    <t>(+) Recompra</t>
  </si>
  <si>
    <t>Deuda neta final</t>
  </si>
  <si>
    <t>Deuda neta / EBITDA del anio</t>
  </si>
  <si>
    <t>LTM — Valoracion (escenario activo)</t>
  </si>
  <si>
    <t>Mercado</t>
  </si>
  <si>
    <t>Precio LTM (CLP) al 24-sep-2026</t>
  </si>
  <si>
    <t>Acciones (MM)</t>
  </si>
  <si>
    <t>Capitalizacion (USD MM)</t>
  </si>
  <si>
    <t>Deuda neta 30-jun-26 (USD MM)</t>
  </si>
  <si>
    <t>EV (USD MM)</t>
  </si>
  <si>
    <t>EBITDA ajustado UDM a jun-26 (USD MM)</t>
  </si>
  <si>
    <t>EV / EBITDA UDM</t>
  </si>
  <si>
    <t>EV / EBITDA 2026E</t>
  </si>
  <si>
    <t>EV / EBITDA 2027E</t>
  </si>
  <si>
    <t>P/U 2026E</t>
  </si>
  <si>
    <t>P/U 2027E</t>
  </si>
  <si>
    <t>Metodo 1: EV/EBITDA 2027E</t>
  </si>
  <si>
    <t>Multiplo objetivo</t>
  </si>
  <si>
    <t>EV objetivo (USD MM)</t>
  </si>
  <si>
    <t>(-) Deuda neta dic-26E</t>
  </si>
  <si>
    <t>Patrimonio (USD MM)</t>
  </si>
  <si>
    <t>Precio por accion (CLP)</t>
  </si>
  <si>
    <t>Metodo 2: P/U 2027E</t>
  </si>
  <si>
    <t>P/U objetivo</t>
  </si>
  <si>
    <t>Metodo 3: DCF (FCFF al 30-sep-26)</t>
  </si>
  <si>
    <t>Periodo</t>
  </si>
  <si>
    <t>4T26</t>
  </si>
  <si>
    <t>2027</t>
  </si>
  <si>
    <t>2028</t>
  </si>
  <si>
    <t>2029</t>
  </si>
  <si>
    <t>2030</t>
  </si>
  <si>
    <t>2031</t>
  </si>
  <si>
    <t>2027 normalizado</t>
  </si>
  <si>
    <t>Anios desde 30-sep-26 (mitad de periodo)</t>
  </si>
  <si>
    <t>margen</t>
  </si>
  <si>
    <t>EBIT</t>
  </si>
  <si>
    <t>Impuestos sobre EBIT</t>
  </si>
  <si>
    <t>Inversion en flota (caja + arriendos)</t>
  </si>
  <si>
    <t>FCFF</t>
  </si>
  <si>
    <t>Factor de descuento</t>
  </si>
  <si>
    <t>Valor presente</t>
  </si>
  <si>
    <t>VP de los flujos (USD MM)</t>
  </si>
  <si>
    <t>Valor terminal (USD MM)</t>
  </si>
  <si>
    <t>VP del valor terminal (USD MM)</t>
  </si>
  <si>
    <t>EV DCF (USD MM)</t>
  </si>
  <si>
    <t>Peso del valor terminal</t>
  </si>
  <si>
    <t>(-) Deuda neta sep-26E</t>
  </si>
  <si>
    <t>Patrimonio hoy (USD MM)</t>
  </si>
  <si>
    <t>Dividendos proximos 12 meses (USD MM)</t>
  </si>
  <si>
    <t>Patrimonio a 12 meses: x (1+Ke) - dividendos</t>
  </si>
  <si>
    <t>Precio objetivo (ponderado)</t>
  </si>
  <si>
    <t>Peso</t>
  </si>
  <si>
    <t>EV/EBITDA 2027E</t>
  </si>
  <si>
    <t>DCF</t>
  </si>
  <si>
    <t>Potencial vs precio actual</t>
  </si>
  <si>
    <t>LTM — Tres escenarios (valores del motor Python; Supuestos!C3 recalcula solo el activo)</t>
  </si>
  <si>
    <t>Variable</t>
  </si>
  <si>
    <t>Probabilidad</t>
  </si>
  <si>
    <t>Jet 4T26 con rezago (USD/bbl)</t>
  </si>
  <si>
    <t>Jet 2027 promedio con rezago (USD/bbl)</t>
  </si>
  <si>
    <t>Jet largo plazo (USD/bbl)</t>
  </si>
  <si>
    <t>Traspaso theta 2027</t>
  </si>
  <si>
    <t>u 2027 vs 2025</t>
  </si>
  <si>
    <t>ASK 2027 a/a</t>
  </si>
  <si>
    <t>EBITDA 3T26E (USD MM)</t>
  </si>
  <si>
    <t>EBITDA 4T26E (USD MM)</t>
  </si>
  <si>
    <t>EBITDA 2026E (USD MM)</t>
  </si>
  <si>
    <t>Resultado operacional 2026E (USD MM)</t>
  </si>
  <si>
    <t>Utilidad 2026E (USD MM)</t>
  </si>
  <si>
    <t>EBITDA 2027E (USD MM)</t>
  </si>
  <si>
    <t>Margen EBITDA 2027E</t>
  </si>
  <si>
    <t>Utilidad 2027E (USD MM)</t>
  </si>
  <si>
    <t>Margen EBITDA normalizado (jet LP)</t>
  </si>
  <si>
    <t>Deuda neta dic-27E (USD MM)</t>
  </si>
  <si>
    <t>Deuda neta / EBITDA dic-27E</t>
  </si>
  <si>
    <t>EV/EBITDA objetivo</t>
  </si>
  <si>
    <t>Precio EV/EBITDA (CLP)</t>
  </si>
  <si>
    <t>Precio DCF (CLP)</t>
  </si>
  <si>
    <t>Precio P/U, solo chequeo (CLP)</t>
  </si>
  <si>
    <t>Precio objetivo 60/40 (CLP)</t>
  </si>
  <si>
    <t>Precio ponderado por probabilidad (CLP)</t>
  </si>
  <si>
    <t>LTM — Sensibilidades sobre el escenario Base (motor Python; valores)</t>
  </si>
  <si>
    <t>Jet = USGC con 1 mes de rezago (USD/bbl). IATA Latinoamerica corria ~USD 3/bbl sobre el USGC la semana al 18-sep.</t>
  </si>
  <si>
    <t>Jet 2027 plano (USD/bbl); largo plazo fijo en 115</t>
  </si>
  <si>
    <t>Valor</t>
  </si>
  <si>
    <t>EBITDA 26E</t>
  </si>
  <si>
    <t>EBITDA 27E</t>
  </si>
  <si>
    <t>Mg EBITDA 27E</t>
  </si>
  <si>
    <t>Utilidad 27E</t>
  </si>
  <si>
    <t>DN/EBITDA 27</t>
  </si>
  <si>
    <t>P EV/EBITDA</t>
  </si>
  <si>
    <t>P DCF</t>
  </si>
  <si>
    <t>Precio obj.</t>
  </si>
  <si>
    <t>Jet plano 2027 Y largo plazo (USD/bbl)</t>
  </si>
  <si>
    <t>El traspaso de 0.55 se mantiene para siempre; en el largo plazo la industria ajusta capacidad y el traspaso sube, asi que esta tabla exagera la caida.</t>
  </si>
  <si>
    <t>Jet de largo plazo 2028+ (USD/bbl)</t>
  </si>
  <si>
    <t>Jet 4T26 con rezago (USD/bbl): efecto sobre la guia 2026</t>
  </si>
  <si>
    <t>Guia de agosto: EBITDA 2026 USD 4,100-4,400 MM con jet 147 (3T) y 130 (4T), calendario.</t>
  </si>
  <si>
    <t>Traspaso theta 4T26-2027</t>
  </si>
  <si>
    <t>u 2027: RASK subyacente vs 2025</t>
  </si>
  <si>
    <t>Dolar (CLP)</t>
  </si>
  <si>
    <t>EV/EBITDA objetivo (x)</t>
  </si>
  <si>
    <t>Precio objetivo: jet 2027 (filas) x traspaso theta (columnas)</t>
  </si>
  <si>
    <t>Precio EV/EBITDA: jet 2027 (filas) x multiplo (columnas)</t>
  </si>
  <si>
    <t>Precio DCF: WACC (filas) x crecimiento terminal (columnas)</t>
  </si>
  <si>
    <t>Puntos de quiebre: jet 2027 plano que lo gatilla (USD/bbl, USGC con rezago)</t>
  </si>
  <si>
    <t>Quiebre</t>
  </si>
  <si>
    <t>Jet</t>
  </si>
  <si>
    <t>Resultado operacional 2027 = 0</t>
  </si>
  <si>
    <t>Utilidad 2027 = 0</t>
  </si>
  <si>
    <t>Deuda neta / EBITDA dic-27 = 2.5x</t>
  </si>
  <si>
    <t>Precio EV/EBITDA (5.25x) = CLP 25.05</t>
  </si>
  <si>
    <t>Precio objetivo = CLP 25.05 (jet 2027 y largo plazo)</t>
  </si>
  <si>
    <t>Impacto marginal: +-USD 10/bbl en el jet 2027 = -+USD 198 MM de EBITDA 2027 y -+CLP 1.16 por accion.</t>
  </si>
  <si>
    <t>LATAM — trafico mensual (comunicados mensuales; serie de bolsachile /api/cl/latam/mensual)</t>
  </si>
  <si>
    <t>Mes</t>
  </si>
  <si>
    <t>RPK (MM)</t>
  </si>
  <si>
    <t>PAX (miles)</t>
  </si>
  <si>
    <t>SSC_ASK (MM)</t>
  </si>
  <si>
    <t>SSC_RPK (MM)</t>
  </si>
  <si>
    <t>BRA_ASK (MM)</t>
  </si>
  <si>
    <t>BRA_RPK (MM)</t>
  </si>
  <si>
    <t>INT_ASK (MM)</t>
  </si>
  <si>
    <t>INT_RPK (MM)</t>
  </si>
  <si>
    <t>ATK (MM)</t>
  </si>
  <si>
    <t>RTK (MM)</t>
  </si>
  <si>
    <t>LF</t>
  </si>
  <si>
    <t>dLF a/a (pp)</t>
  </si>
  <si>
    <t>ASK a/a</t>
  </si>
  <si>
    <t>RPK a/a</t>
  </si>
  <si>
    <t>LF SSC</t>
  </si>
  <si>
    <t>LF Brasil</t>
  </si>
  <si>
    <t>LF Intl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</si>
  <si>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</si>
  <si>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</si>
  <si>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</si>
  <si>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</si>
  <si>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</si>
  <si>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</si>
  <si>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</si>
  <si>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</si>
  <si>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</si>
  <si>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</si>
  <si>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</si>
  <si>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</si>
  <si>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</si>
  <si>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</si>
  <si>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</si>
  <si>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</si>
  <si>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</si>
  <si>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</si>
  <si>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</si>
  <si>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</si>
  <si>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</si>
  <si>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</si>
  <si>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</si>
  <si>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</si>
  <si>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</si>
  <si>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</si>
  <si>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</si>
  <si>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</si>
  <si>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</si>
  <si>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</si>
  <si>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</si>
  <si>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</si>
  <si>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Jet fuel USGC y Brent Dated (EIA, promedio mensual de datos diarios) + curva forward usada</t>
  </si>
  <si>
    <t>Fuentes: EIA EER_EPJK_PF4_RGC_DPG (jet USGC) y RBRTE (Brent Dated), bajadas el 25-sep-2026; HO NYMEX via fxempire 25-sep.</t>
  </si>
  <si>
    <t>Jet USGC (USD/bbl)</t>
  </si>
  <si>
    <t>Brent Dated (USD/bbl)</t>
  </si>
  <si>
    <t>Crack (USD/bbl)</t>
  </si>
  <si>
    <t>2023-10</t>
  </si>
  <si>
    <t>2023-11</t>
  </si>
  <si>
    <t>2023-12</t>
  </si>
  <si>
    <t>2026-09</t>
  </si>
  <si>
    <t>sep-26 = 1 al 22-sep; el modelo usa 183.5 para el mes completo.</t>
  </si>
  <si>
    <t>Curva forward del jet: (HO NYMEX - 0.302 USD/gal) x 42</t>
  </si>
  <si>
    <t>2026-10</t>
  </si>
  <si>
    <t>2026-11</t>
  </si>
  <si>
    <t>2026-12</t>
  </si>
  <si>
    <t>2027-01</t>
  </si>
  <si>
    <t>2027-02</t>
  </si>
  <si>
    <t>2027-03</t>
  </si>
  <si>
    <t>2027-04</t>
  </si>
  <si>
    <t>2027-05</t>
  </si>
  <si>
    <t>2027-06</t>
  </si>
  <si>
    <t>2027-07</t>
  </si>
  <si>
    <t>2027-08</t>
  </si>
  <si>
    <t>2027-09</t>
  </si>
  <si>
    <t>2027-10</t>
  </si>
  <si>
    <t>2027-11</t>
  </si>
  <si>
    <t>2027-12</t>
  </si>
  <si>
    <t>Calibracion: precio pagado por LATAM vs USGC con 1 mes de rezago</t>
  </si>
  <si>
    <t>Trimestre</t>
  </si>
  <si>
    <t>Pagado (USD/bbl)</t>
  </si>
  <si>
    <t>USGC rezagado</t>
  </si>
  <si>
    <t>Diferencial</t>
  </si>
  <si>
    <t>Modelo a + (1+b) x jet</t>
  </si>
  <si>
    <t>2024-Q1</t>
  </si>
  <si>
    <t>2024-Q2</t>
  </si>
  <si>
    <t>2024-Q3</t>
  </si>
  <si>
    <t>2024-Q4</t>
  </si>
  <si>
    <t>2025-Q1</t>
  </si>
  <si>
    <t>2025-Q2</t>
  </si>
  <si>
    <t>2025-Q3</t>
  </si>
  <si>
    <t>2025-Q4</t>
  </si>
  <si>
    <t>2026-Q1</t>
  </si>
  <si>
    <t>2026-Q2</t>
  </si>
  <si>
    <t>1T26 trae ~USD 4/bbl del salto de marzo (el comunicado 1T26 lo estima en USD 40 MM).</t>
  </si>
  <si>
    <t>LATAM — historico trimestral (planilla IR LATAM, la misma que usa bolsachile)</t>
  </si>
  <si>
    <t>Fuente: Spreadsheet-LATAM_Airlines_Group-06-2026.xlsx (ir.latam.com). USD 000 salvo indicacion.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</si>
  <si>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</si>
  <si>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</si>
  <si>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</si>
  <si>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</si>
  <si>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</si>
  <si>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</si>
  <si>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</si>
  <si>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</si>
  <si>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</si>
  <si>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</si>
  <si>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</si>
  <si>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</si>
  <si>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</si>
  <si>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2026 Q2</t>
  </si>
  <si>
    <t>Galones consumidos (MM)</t>
  </si>
  <si>
    <t>Ingresos (USD 000)</t>
  </si>
  <si>
    <t>Ingresos pasajeros (USD 000)</t>
  </si>
  <si>
    <t>Ingresos carga (USD 000)</t>
  </si>
  <si>
    <t>Combustible (USD 000)</t>
  </si>
  <si>
    <t>Costos operacionales ajustados (USD 000)</t>
  </si>
  <si>
    <t>D&amp;A (USD 000)</t>
  </si>
  <si>
    <t>Resultado operacional ajustado (USD 000)</t>
  </si>
  <si>
    <t>EBITDA ajustado (USD 000)</t>
  </si>
  <si>
    <t>Utilidad controladora (USD 000)</t>
  </si>
  <si>
    <t>Metricas unitarias (derivadas)</t>
  </si>
  <si>
    <t>Factor de ocupacion</t>
  </si>
  <si>
    <t>RASK total (US cents)</t>
  </si>
  <si>
    <t>Precio pagado del combustible (USD/bbl)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</si>
</sst>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;\(#,##0\);&quot;-&quot;"/>
    <numFmt numFmtId="165" formatCode="#,##0.0;\(#,##0.0\);&quot;-&quot;"/>
    <numFmt numFmtId="166" formatCode="0.0%;\(0.0%\);&quot;-&quot;"/>
    <numFmt numFmtId="167" formatCode="0.0000"/>
    <numFmt numFmtId="168" formatCode="0.00&quot;x&quot;"/>
    <numFmt numFmtId="169" formatCode="0.000"/>
    <numFmt numFmtId="170" formatCode="0.0"/>
  </numFmts>
  <fonts count="7" x14ac:knownFonts="1">
    <font>
      <sz val="11"/>
      <color theme="1"/>
      <name val="Calibri"/>
      <family val="2"/>
      <scheme val="minor"/>
    </font>
    <font>
      <b/>
      <sz val="13"/>
      <name val="Calibri"/>
    </font>
    <font>
      <b/>
      <sz val="11"/>
      <color rgb="FF000000"/>
      <name val="Calibri"/>
    </font>
    <font>
      <sz val="11"/>
      <color rgb="FF0000FF"/>
      <name val="Calibri"/>
    </font>
    <font>
      <sz val="11"/>
      <color rgb="FF008000"/>
      <name val="Calibri"/>
    </font>
    <font>
      <i/>
      <sz val="11"/>
      <color rgb="FF595959"/>
      <name val="Calibri"/>
    </font>
    <font>
      <b/>
      <sz val="1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6" fillId="0" borderId="0" xfId="0" applyFont="1"/>
    <xf numFmtId="0" fontId="2" fillId="2" borderId="0" xfId="0" applyFont="1" applyFill="1"/>
    <xf numFmtId="4" fontId="0" fillId="0" borderId="0" xfId="0" applyNumberFormat="1"/>
    <xf numFmtId="166" fontId="0" fillId="0" borderId="0" xfId="0" applyNumberFormat="1"/>
    <xf numFmtId="0" fontId="2" fillId="3" borderId="0" xfId="0" applyFont="1" applyFill="1"/>
    <xf numFmtId="164" fontId="0" fillId="0" borderId="0" xfId="0" applyNumberFormat="1"/>
    <xf numFmtId="168" fontId="0" fillId="0" borderId="0" xfId="0" applyNumberFormat="1"/>
    <xf numFmtId="2" fontId="0" fillId="0" borderId="0" xfId="0" applyNumberFormat="1"/>
    <xf numFmtId="0" fontId="1" fillId="0" borderId="0" xfId="0" applyFont="1"/>
    <xf numFmtId="0" fontId="2" fillId="0" borderId="0" xfId="0" applyFont="1"/>
    <xf numFmtId="0" fontId="3" fillId="3" borderId="0" xfId="0" applyFont="1" applyFill="1"/>
    <xf numFmtId="165" fontId="3" fillId="0" borderId="0" xfId="0" applyNumberFormat="1" applyFont="1"/>
    <xf numFmtId="166" fontId="3" fillId="0" borderId="0" xfId="0" applyNumberFormat="1" applyFont="1"/>
    <xf numFmtId="164" fontId="3" fillId="0" borderId="0" xfId="0" applyNumberFormat="1" applyFont="1"/>
    <xf numFmtId="165" fontId="0" fillId="0" borderId="0" xfId="0" applyNumberFormat="1"/>
    <xf numFmtId="168" fontId="3" fillId="0" borderId="0" xfId="0" applyNumberFormat="1" applyFont="1"/>
    <xf numFmtId="4" fontId="3" fillId="0" borderId="0" xfId="0" applyNumberFormat="1" applyFont="1"/>
    <xf numFmtId="164" fontId="4" fillId="0" borderId="0" xfId="0" applyNumberFormat="1" applyFont="1"/>
    <xf numFmtId="2" fontId="4" fillId="0" borderId="0" xfId="0" applyNumberFormat="1" applyFont="1"/>
    <xf numFmtId="167" fontId="4" fillId="0" borderId="0" xfId="0" applyNumberFormat="1" applyFont="1"/>
    <xf numFmtId="166" fontId="4" fillId="0" borderId="0" xfId="0" applyNumberFormat="1" applyFont="1"/>
    <xf numFmtId="167" fontId="0" fillId="0" borderId="0" xfId="0" applyNumberFormat="1"/>
    <xf numFmtId="165" fontId="4" fillId="0" borderId="0" xfId="0" applyNumberFormat="1" applyFont="1"/>
    <xf numFmtId="165" fontId="2" fillId="0" borderId="0" xfId="0" applyNumberFormat="1" applyFont="1"/>
    <xf numFmtId="4" fontId="0" fillId="3" borderId="0" xfId="0" applyNumberFormat="1" applyFill="1"/>
    <xf numFmtId="4" fontId="2" fillId="0" borderId="0" xfId="0" applyNumberFormat="1" applyFont="1"/>
    <xf numFmtId="169" fontId="0" fillId="0" borderId="0" xfId="0" applyNumberFormat="1"/>
    <xf numFmtId="4" fontId="2" fillId="3" borderId="0" xfId="0" applyNumberFormat="1" applyFont="1" applyFill="1"/>
    <xf numFmtId="0" fontId="5" fillId="0" borderId="0" xfId="0" applyFont="1"/>
    <xf numFmtId="166" fontId="2" fillId="2" borderId="0" xfId="0" applyNumberFormat="1" applyFont="1" applyFill="1"/>
    <xf numFmtId="165" fontId="2" fillId="2" borderId="0" xfId="0" applyNumberFormat="1" applyFont="1" applyFill="1"/>
    <xf numFmtId="168" fontId="2" fillId="2" borderId="0" xfId="0" applyNumberFormat="1" applyFont="1" applyFill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/>
  </sheetViews>
  <sheetFormatPr defaultRowHeight="15" x14ac:dyDescent="0.25"/>
  <cols>
    <col min="1" max="1" width="2" customWidth="1"/>
    <col min="2" max="2" width="50" customWidth="1"/>
    <col min="3" max="3" width="14" customWidth="1"/>
    <col min="4" max="4" width="16" customWidth="1"/>
  </cols>
  <sheetData>
    <row r="1" spans="1:4" ht="19.5" x14ac:dyDescent="0.3">
      <c r="A1" s="1" t="s">
        <v>0</v>
      </c>
    </row>
    <row r="2" spans="1:4" x14ac:dyDescent="0.25">
      <c r="A2" t="s">
        <v>1</v>
      </c>
    </row>
    <row r="4" spans="1:4" x14ac:dyDescent="0.25">
      <c r="B4" s="2" t="s">
        <v>2</v>
      </c>
      <c r="C4" s="2" t="s">
        <v>3</v>
      </c>
      <c r="D4" s="2" t="s">
        <v>4</v>
      </c>
    </row>
    <row r="5" spans="1:4" x14ac:dyDescent="0.25">
      <c r="B5" t="s">
        <v>5</v>
      </c>
      <c r="C5" s="3">
        <v>15.092957723120801</v>
      </c>
      <c r="D5" s="4">
        <f>C5/25.05-1</f>
        <v>-0.39748671763988819</v>
      </c>
    </row>
    <row r="6" spans="1:4" x14ac:dyDescent="0.25">
      <c r="B6" t="s">
        <v>6</v>
      </c>
      <c r="C6" s="3">
        <v>30.75801116234322</v>
      </c>
      <c r="D6" s="4">
        <f>C6/25.05-1</f>
        <v>0.22786471705960953</v>
      </c>
    </row>
    <row r="7" spans="1:4" x14ac:dyDescent="0.25">
      <c r="B7" t="s">
        <v>7</v>
      </c>
      <c r="C7" s="3">
        <v>41.750799273279917</v>
      </c>
      <c r="D7" s="4">
        <f>C7/25.05-1</f>
        <v>0.66669857378362929</v>
      </c>
    </row>
    <row r="8" spans="1:4" x14ac:dyDescent="0.25">
      <c r="B8" t="s">
        <v>8</v>
      </c>
      <c r="C8" s="3">
        <v>29.58994483027179</v>
      </c>
      <c r="D8" s="4">
        <f>C8/25.05-1</f>
        <v>0.18123532256574015</v>
      </c>
    </row>
    <row r="10" spans="1:4" x14ac:dyDescent="0.25">
      <c r="B10" s="5" t="s">
        <v>9</v>
      </c>
    </row>
    <row r="11" spans="1:4" x14ac:dyDescent="0.25">
      <c r="B11" t="s">
        <v>10</v>
      </c>
      <c r="C11" t="str">
        <f>Supuestos!D3</f>
        <v>Base</v>
      </c>
    </row>
    <row r="12" spans="1:4" x14ac:dyDescent="0.25">
      <c r="B12" t="s">
        <v>11</v>
      </c>
      <c r="C12" s="6">
        <f>Proyeccion!E34</f>
        <v>1126.6653089045599</v>
      </c>
    </row>
    <row r="13" spans="1:4" x14ac:dyDescent="0.25">
      <c r="B13" t="s">
        <v>12</v>
      </c>
      <c r="C13" s="6">
        <f>Proyeccion!F34</f>
        <v>875.55123004606276</v>
      </c>
    </row>
    <row r="14" spans="1:4" x14ac:dyDescent="0.25">
      <c r="B14" t="s">
        <v>13</v>
      </c>
      <c r="C14" s="6">
        <f>Proyeccion!K34</f>
        <v>4030.0201351706223</v>
      </c>
    </row>
    <row r="15" spans="1:4" x14ac:dyDescent="0.25">
      <c r="B15" t="s">
        <v>14</v>
      </c>
      <c r="C15" s="6">
        <f>Proyeccion!L34</f>
        <v>4293.8226948744541</v>
      </c>
    </row>
    <row r="16" spans="1:4" x14ac:dyDescent="0.25">
      <c r="B16" t="s">
        <v>15</v>
      </c>
      <c r="C16" s="6">
        <f>Proyeccion!L41</f>
        <v>1312.2492906432865</v>
      </c>
    </row>
    <row r="17" spans="2:4" x14ac:dyDescent="0.25">
      <c r="B17" t="s">
        <v>16</v>
      </c>
      <c r="C17" s="7">
        <f>Proyeccion!K54</f>
        <v>1.6514367406397026</v>
      </c>
    </row>
    <row r="18" spans="2:4" x14ac:dyDescent="0.25">
      <c r="B18" t="s">
        <v>17</v>
      </c>
      <c r="C18" s="7">
        <f>Valoracion!$C$13</f>
        <v>4.9762942323355617</v>
      </c>
    </row>
    <row r="19" spans="2:4" x14ac:dyDescent="0.25">
      <c r="B19" t="s">
        <v>18</v>
      </c>
      <c r="C19" s="3">
        <f>Valoracion!$D$57</f>
        <v>30.758011162343202</v>
      </c>
    </row>
    <row r="21" spans="2:4" x14ac:dyDescent="0.25">
      <c r="B21" s="2" t="s">
        <v>19</v>
      </c>
    </row>
    <row r="22" spans="2:4" x14ac:dyDescent="0.25">
      <c r="B22" t="s">
        <v>20</v>
      </c>
      <c r="C22" s="6">
        <v>4254.8601379414386</v>
      </c>
      <c r="D22" t="s">
        <v>21</v>
      </c>
    </row>
    <row r="23" spans="2:4" x14ac:dyDescent="0.25">
      <c r="B23" t="s">
        <v>22</v>
      </c>
      <c r="C23" s="6">
        <v>2256.545137941439</v>
      </c>
      <c r="D23" t="s">
        <v>23</v>
      </c>
    </row>
    <row r="24" spans="2:4" x14ac:dyDescent="0.25">
      <c r="B24" t="s">
        <v>24</v>
      </c>
      <c r="C24" s="4">
        <v>0.12717355734453689</v>
      </c>
      <c r="D24" t="s">
        <v>25</v>
      </c>
    </row>
    <row r="25" spans="2:4" x14ac:dyDescent="0.25">
      <c r="B25" t="s">
        <v>26</v>
      </c>
      <c r="C25" s="6">
        <v>17743.823362808329</v>
      </c>
      <c r="D25" t="s">
        <v>27</v>
      </c>
    </row>
    <row r="26" spans="2:4" x14ac:dyDescent="0.25">
      <c r="B26" t="s">
        <v>28</v>
      </c>
      <c r="C26" s="8">
        <v>5.1556738486939517</v>
      </c>
      <c r="D26" t="s">
        <v>29</v>
      </c>
    </row>
    <row r="28" spans="2:4" x14ac:dyDescent="0.25">
      <c r="B28" t="s">
        <v>30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3"/>
  <sheetViews>
    <sheetView workbookViewId="0"/>
  </sheetViews>
  <sheetFormatPr defaultRowHeight="15" x14ac:dyDescent="0.25"/>
  <cols>
    <col min="1" max="1" width="2" customWidth="1"/>
    <col min="2" max="2" width="50" customWidth="1"/>
    <col min="3" max="8" width="11" customWidth="1"/>
  </cols>
  <sheetData>
    <row r="1" spans="1:8" ht="17.25" x14ac:dyDescent="0.3">
      <c r="A1" s="9" t="s">
        <v>31</v>
      </c>
    </row>
    <row r="3" spans="1:8" x14ac:dyDescent="0.25">
      <c r="B3" s="10" t="s">
        <v>32</v>
      </c>
      <c r="C3" s="11">
        <v>2</v>
      </c>
      <c r="D3" s="10" t="str">
        <f>CHOOSE(C3,"Bear","Base","Bull")</f>
        <v>Base</v>
      </c>
    </row>
    <row r="5" spans="1:8" x14ac:dyDescent="0.25">
      <c r="B5" s="2" t="s">
        <v>33</v>
      </c>
      <c r="C5" s="2" t="s">
        <v>34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39</v>
      </c>
    </row>
    <row r="6" spans="1:8" x14ac:dyDescent="0.25">
      <c r="B6" t="s">
        <v>40</v>
      </c>
      <c r="C6" s="12">
        <v>142.4</v>
      </c>
      <c r="D6" s="12">
        <v>185</v>
      </c>
      <c r="E6" s="12">
        <v>185</v>
      </c>
      <c r="F6" s="12">
        <v>185</v>
      </c>
      <c r="G6" s="12">
        <v>185</v>
      </c>
      <c r="H6" s="12">
        <v>185</v>
      </c>
    </row>
    <row r="7" spans="1:8" x14ac:dyDescent="0.25">
      <c r="B7" t="s">
        <v>41</v>
      </c>
      <c r="C7" s="12">
        <v>15</v>
      </c>
      <c r="D7" s="12">
        <v>25</v>
      </c>
      <c r="E7" s="12">
        <v>0</v>
      </c>
      <c r="F7" s="12">
        <v>0</v>
      </c>
      <c r="G7" s="12">
        <v>0</v>
      </c>
      <c r="H7" s="12">
        <v>0</v>
      </c>
    </row>
    <row r="8" spans="1:8" x14ac:dyDescent="0.25">
      <c r="B8" t="s">
        <v>42</v>
      </c>
      <c r="C8" s="13">
        <v>7.8E-2</v>
      </c>
      <c r="D8" s="13">
        <v>7.0000000000000007E-2</v>
      </c>
      <c r="E8" s="13">
        <v>0.04</v>
      </c>
      <c r="F8" s="13">
        <v>0.04</v>
      </c>
      <c r="G8" s="13">
        <v>0.04</v>
      </c>
      <c r="H8" s="13">
        <v>0.04</v>
      </c>
    </row>
    <row r="9" spans="1:8" x14ac:dyDescent="0.25">
      <c r="B9" t="s">
        <v>43</v>
      </c>
      <c r="C9" s="13">
        <v>5.2999999999999999E-2</v>
      </c>
      <c r="D9" s="13">
        <v>0.03</v>
      </c>
      <c r="E9" s="13">
        <v>5.5E-2</v>
      </c>
      <c r="F9" s="13">
        <v>5.5E-2</v>
      </c>
      <c r="G9" s="13">
        <v>5.5E-2</v>
      </c>
      <c r="H9" s="13">
        <v>5.5E-2</v>
      </c>
    </row>
    <row r="10" spans="1:8" x14ac:dyDescent="0.25">
      <c r="B10" t="s">
        <v>44</v>
      </c>
      <c r="C10" s="13">
        <v>0.55000000000000004</v>
      </c>
      <c r="D10" s="13">
        <v>0.5</v>
      </c>
      <c r="E10" s="13">
        <v>0.5</v>
      </c>
      <c r="F10" s="13">
        <v>0.5</v>
      </c>
      <c r="G10" s="13">
        <v>0.5</v>
      </c>
      <c r="H10" s="13">
        <v>0.5</v>
      </c>
    </row>
    <row r="11" spans="1:8" x14ac:dyDescent="0.25">
      <c r="B11" t="s">
        <v>45</v>
      </c>
      <c r="C11" s="13">
        <v>0.04</v>
      </c>
      <c r="D11" s="13">
        <v>3.5000000000000003E-2</v>
      </c>
      <c r="E11" s="13">
        <v>7.4999999999999997E-2</v>
      </c>
      <c r="F11" s="13">
        <v>7.4999999999999997E-2</v>
      </c>
      <c r="G11" s="13">
        <v>7.4999999999999997E-2</v>
      </c>
      <c r="H11" s="13">
        <v>7.4999999999999997E-2</v>
      </c>
    </row>
    <row r="12" spans="1:8" x14ac:dyDescent="0.25">
      <c r="B12" t="s">
        <v>46</v>
      </c>
      <c r="C12" s="14">
        <v>500</v>
      </c>
      <c r="D12" s="14">
        <v>520</v>
      </c>
      <c r="E12" s="14">
        <v>535</v>
      </c>
      <c r="F12" s="14">
        <v>540</v>
      </c>
      <c r="G12" s="14">
        <v>545</v>
      </c>
      <c r="H12" s="14">
        <v>550</v>
      </c>
    </row>
    <row r="14" spans="1:8" x14ac:dyDescent="0.25">
      <c r="B14" s="2" t="s">
        <v>47</v>
      </c>
      <c r="C14" s="2" t="s">
        <v>34</v>
      </c>
      <c r="D14" s="2" t="s">
        <v>35</v>
      </c>
      <c r="E14" s="2" t="s">
        <v>36</v>
      </c>
      <c r="F14" s="2" t="s">
        <v>37</v>
      </c>
      <c r="G14" s="2" t="s">
        <v>38</v>
      </c>
      <c r="H14" s="2" t="s">
        <v>39</v>
      </c>
    </row>
    <row r="15" spans="1:8" x14ac:dyDescent="0.25">
      <c r="B15" t="s">
        <v>40</v>
      </c>
      <c r="C15" s="12">
        <v>142.4</v>
      </c>
      <c r="D15" s="12">
        <v>180.4</v>
      </c>
      <c r="E15" s="12">
        <v>168</v>
      </c>
      <c r="F15" s="12">
        <v>153.69999999999999</v>
      </c>
      <c r="G15" s="12">
        <v>140.4</v>
      </c>
      <c r="H15" s="12">
        <v>132.69999999999999</v>
      </c>
    </row>
    <row r="16" spans="1:8" x14ac:dyDescent="0.25">
      <c r="B16" t="s">
        <v>41</v>
      </c>
      <c r="C16" s="12">
        <v>15</v>
      </c>
      <c r="D16" s="12">
        <v>20</v>
      </c>
      <c r="E16" s="12">
        <v>0</v>
      </c>
      <c r="F16" s="12">
        <v>0</v>
      </c>
      <c r="G16" s="12">
        <v>0</v>
      </c>
      <c r="H16" s="12">
        <v>0</v>
      </c>
    </row>
    <row r="17" spans="2:8" x14ac:dyDescent="0.25">
      <c r="B17" t="s">
        <v>42</v>
      </c>
      <c r="C17" s="13">
        <v>7.8E-2</v>
      </c>
      <c r="D17" s="13">
        <v>8.5000000000000006E-2</v>
      </c>
      <c r="E17" s="13">
        <v>6.5000000000000002E-2</v>
      </c>
      <c r="F17" s="13">
        <v>6.5000000000000002E-2</v>
      </c>
      <c r="G17" s="13">
        <v>6.5000000000000002E-2</v>
      </c>
      <c r="H17" s="13">
        <v>6.5000000000000002E-2</v>
      </c>
    </row>
    <row r="18" spans="2:8" x14ac:dyDescent="0.25">
      <c r="B18" t="s">
        <v>43</v>
      </c>
      <c r="C18" s="13">
        <v>5.2999999999999999E-2</v>
      </c>
      <c r="D18" s="13">
        <v>0.04</v>
      </c>
      <c r="E18" s="13">
        <v>7.4999999999999997E-2</v>
      </c>
      <c r="F18" s="13">
        <v>7.4999999999999997E-2</v>
      </c>
      <c r="G18" s="13">
        <v>7.4999999999999997E-2</v>
      </c>
      <c r="H18" s="13">
        <v>7.4999999999999997E-2</v>
      </c>
    </row>
    <row r="19" spans="2:8" x14ac:dyDescent="0.25">
      <c r="B19" t="s">
        <v>44</v>
      </c>
      <c r="C19" s="13">
        <v>0.55000000000000004</v>
      </c>
      <c r="D19" s="13">
        <v>0.55000000000000004</v>
      </c>
      <c r="E19" s="13">
        <v>0.55000000000000004</v>
      </c>
      <c r="F19" s="13">
        <v>0.55000000000000004</v>
      </c>
      <c r="G19" s="13">
        <v>0.55000000000000004</v>
      </c>
      <c r="H19" s="13">
        <v>0.55000000000000004</v>
      </c>
    </row>
    <row r="20" spans="2:8" x14ac:dyDescent="0.25">
      <c r="B20" t="s">
        <v>45</v>
      </c>
      <c r="C20" s="13">
        <v>0.04</v>
      </c>
      <c r="D20" s="13">
        <v>3.5000000000000003E-2</v>
      </c>
      <c r="E20" s="13">
        <v>7.4999999999999997E-2</v>
      </c>
      <c r="F20" s="13">
        <v>7.4999999999999997E-2</v>
      </c>
      <c r="G20" s="13">
        <v>7.4999999999999997E-2</v>
      </c>
      <c r="H20" s="13">
        <v>7.4999999999999997E-2</v>
      </c>
    </row>
    <row r="21" spans="2:8" x14ac:dyDescent="0.25">
      <c r="B21" t="s">
        <v>46</v>
      </c>
      <c r="C21" s="14">
        <v>500</v>
      </c>
      <c r="D21" s="14">
        <v>520</v>
      </c>
      <c r="E21" s="14">
        <v>535</v>
      </c>
      <c r="F21" s="14">
        <v>540</v>
      </c>
      <c r="G21" s="14">
        <v>545</v>
      </c>
      <c r="H21" s="14">
        <v>550</v>
      </c>
    </row>
    <row r="23" spans="2:8" x14ac:dyDescent="0.25">
      <c r="B23" s="2" t="s">
        <v>48</v>
      </c>
      <c r="C23" s="2" t="s">
        <v>34</v>
      </c>
      <c r="D23" s="2" t="s">
        <v>35</v>
      </c>
      <c r="E23" s="2" t="s">
        <v>36</v>
      </c>
      <c r="F23" s="2" t="s">
        <v>37</v>
      </c>
      <c r="G23" s="2" t="s">
        <v>38</v>
      </c>
      <c r="H23" s="2" t="s">
        <v>39</v>
      </c>
    </row>
    <row r="24" spans="2:8" x14ac:dyDescent="0.25">
      <c r="B24" t="s">
        <v>40</v>
      </c>
      <c r="C24" s="12">
        <v>142.4</v>
      </c>
      <c r="D24" s="12">
        <v>167.8</v>
      </c>
      <c r="E24" s="12">
        <v>126</v>
      </c>
      <c r="F24" s="12">
        <v>112</v>
      </c>
      <c r="G24" s="12">
        <v>108</v>
      </c>
      <c r="H24" s="12">
        <v>105</v>
      </c>
    </row>
    <row r="25" spans="2:8" x14ac:dyDescent="0.25">
      <c r="B25" t="s">
        <v>41</v>
      </c>
      <c r="C25" s="12">
        <v>15</v>
      </c>
      <c r="D25" s="12">
        <v>10</v>
      </c>
      <c r="E25" s="12">
        <v>0</v>
      </c>
      <c r="F25" s="12">
        <v>0</v>
      </c>
      <c r="G25" s="12">
        <v>0</v>
      </c>
      <c r="H25" s="12">
        <v>0</v>
      </c>
    </row>
    <row r="26" spans="2:8" x14ac:dyDescent="0.25">
      <c r="B26" t="s">
        <v>42</v>
      </c>
      <c r="C26" s="13">
        <v>7.8E-2</v>
      </c>
      <c r="D26" s="13">
        <v>9.5000000000000001E-2</v>
      </c>
      <c r="E26" s="13">
        <v>7.0000000000000007E-2</v>
      </c>
      <c r="F26" s="13">
        <v>7.0000000000000007E-2</v>
      </c>
      <c r="G26" s="13">
        <v>7.0000000000000007E-2</v>
      </c>
      <c r="H26" s="13">
        <v>7.0000000000000007E-2</v>
      </c>
    </row>
    <row r="27" spans="2:8" x14ac:dyDescent="0.25">
      <c r="B27" t="s">
        <v>43</v>
      </c>
      <c r="C27" s="13">
        <v>5.2999999999999999E-2</v>
      </c>
      <c r="D27" s="13">
        <v>4.4999999999999998E-2</v>
      </c>
      <c r="E27" s="13">
        <v>0.08</v>
      </c>
      <c r="F27" s="13">
        <v>0.08</v>
      </c>
      <c r="G27" s="13">
        <v>0.08</v>
      </c>
      <c r="H27" s="13">
        <v>0.08</v>
      </c>
    </row>
    <row r="28" spans="2:8" x14ac:dyDescent="0.25">
      <c r="B28" t="s">
        <v>44</v>
      </c>
      <c r="C28" s="13">
        <v>0.55000000000000004</v>
      </c>
      <c r="D28" s="13">
        <v>0.65</v>
      </c>
      <c r="E28" s="13">
        <v>0.65</v>
      </c>
      <c r="F28" s="13">
        <v>0.65</v>
      </c>
      <c r="G28" s="13">
        <v>0.65</v>
      </c>
      <c r="H28" s="13">
        <v>0.65</v>
      </c>
    </row>
    <row r="29" spans="2:8" x14ac:dyDescent="0.25">
      <c r="B29" t="s">
        <v>45</v>
      </c>
      <c r="C29" s="13">
        <v>0.04</v>
      </c>
      <c r="D29" s="13">
        <v>3.5000000000000003E-2</v>
      </c>
      <c r="E29" s="13">
        <v>7.4999999999999997E-2</v>
      </c>
      <c r="F29" s="13">
        <v>7.4999999999999997E-2</v>
      </c>
      <c r="G29" s="13">
        <v>7.4999999999999997E-2</v>
      </c>
      <c r="H29" s="13">
        <v>7.4999999999999997E-2</v>
      </c>
    </row>
    <row r="30" spans="2:8" x14ac:dyDescent="0.25">
      <c r="B30" t="s">
        <v>46</v>
      </c>
      <c r="C30" s="14">
        <v>500</v>
      </c>
      <c r="D30" s="14">
        <v>520</v>
      </c>
      <c r="E30" s="14">
        <v>535</v>
      </c>
      <c r="F30" s="14">
        <v>540</v>
      </c>
      <c r="G30" s="14">
        <v>545</v>
      </c>
      <c r="H30" s="14">
        <v>550</v>
      </c>
    </row>
    <row r="32" spans="2:8" x14ac:dyDescent="0.25">
      <c r="B32" s="5" t="s">
        <v>49</v>
      </c>
      <c r="C32" s="5" t="s">
        <v>34</v>
      </c>
      <c r="D32" s="5" t="s">
        <v>35</v>
      </c>
      <c r="E32" s="5" t="s">
        <v>36</v>
      </c>
      <c r="F32" s="5" t="s">
        <v>37</v>
      </c>
      <c r="G32" s="5" t="s">
        <v>38</v>
      </c>
      <c r="H32" s="5" t="s">
        <v>39</v>
      </c>
    </row>
    <row r="33" spans="2:8" x14ac:dyDescent="0.25">
      <c r="B33" t="s">
        <v>40</v>
      </c>
      <c r="C33" s="15">
        <f t="shared" ref="C33:H39" si="0">CHOOSE($C$3,C6,C15,C24)</f>
        <v>142.4</v>
      </c>
      <c r="D33" s="15">
        <f t="shared" si="0"/>
        <v>180.4</v>
      </c>
      <c r="E33" s="15">
        <f t="shared" si="0"/>
        <v>168</v>
      </c>
      <c r="F33" s="15">
        <f t="shared" si="0"/>
        <v>153.69999999999999</v>
      </c>
      <c r="G33" s="15">
        <f t="shared" si="0"/>
        <v>140.4</v>
      </c>
      <c r="H33" s="15">
        <f t="shared" si="0"/>
        <v>132.69999999999999</v>
      </c>
    </row>
    <row r="34" spans="2:8" x14ac:dyDescent="0.25">
      <c r="B34" t="s">
        <v>41</v>
      </c>
      <c r="C34" s="15">
        <f t="shared" si="0"/>
        <v>15</v>
      </c>
      <c r="D34" s="15">
        <f t="shared" si="0"/>
        <v>20</v>
      </c>
      <c r="E34" s="15">
        <f t="shared" si="0"/>
        <v>0</v>
      </c>
      <c r="F34" s="15">
        <f t="shared" si="0"/>
        <v>0</v>
      </c>
      <c r="G34" s="15">
        <f t="shared" si="0"/>
        <v>0</v>
      </c>
      <c r="H34" s="15">
        <f t="shared" si="0"/>
        <v>0</v>
      </c>
    </row>
    <row r="35" spans="2:8" x14ac:dyDescent="0.25">
      <c r="B35" t="s">
        <v>42</v>
      </c>
      <c r="C35" s="4">
        <f t="shared" si="0"/>
        <v>7.8E-2</v>
      </c>
      <c r="D35" s="4">
        <f t="shared" si="0"/>
        <v>8.5000000000000006E-2</v>
      </c>
      <c r="E35" s="4">
        <f t="shared" si="0"/>
        <v>6.5000000000000002E-2</v>
      </c>
      <c r="F35" s="4">
        <f t="shared" si="0"/>
        <v>6.5000000000000002E-2</v>
      </c>
      <c r="G35" s="4">
        <f t="shared" si="0"/>
        <v>6.5000000000000002E-2</v>
      </c>
      <c r="H35" s="4">
        <f t="shared" si="0"/>
        <v>6.5000000000000002E-2</v>
      </c>
    </row>
    <row r="36" spans="2:8" x14ac:dyDescent="0.25">
      <c r="B36" t="s">
        <v>43</v>
      </c>
      <c r="C36" s="4">
        <f t="shared" si="0"/>
        <v>5.2999999999999999E-2</v>
      </c>
      <c r="D36" s="4">
        <f t="shared" si="0"/>
        <v>0.04</v>
      </c>
      <c r="E36" s="4">
        <f t="shared" si="0"/>
        <v>7.4999999999999997E-2</v>
      </c>
      <c r="F36" s="4">
        <f t="shared" si="0"/>
        <v>7.4999999999999997E-2</v>
      </c>
      <c r="G36" s="4">
        <f t="shared" si="0"/>
        <v>7.4999999999999997E-2</v>
      </c>
      <c r="H36" s="4">
        <f t="shared" si="0"/>
        <v>7.4999999999999997E-2</v>
      </c>
    </row>
    <row r="37" spans="2:8" x14ac:dyDescent="0.25">
      <c r="B37" t="s">
        <v>44</v>
      </c>
      <c r="C37" s="4">
        <f t="shared" si="0"/>
        <v>0.55000000000000004</v>
      </c>
      <c r="D37" s="4">
        <f t="shared" si="0"/>
        <v>0.55000000000000004</v>
      </c>
      <c r="E37" s="4">
        <f t="shared" si="0"/>
        <v>0.55000000000000004</v>
      </c>
      <c r="F37" s="4">
        <f t="shared" si="0"/>
        <v>0.55000000000000004</v>
      </c>
      <c r="G37" s="4">
        <f t="shared" si="0"/>
        <v>0.55000000000000004</v>
      </c>
      <c r="H37" s="4">
        <f t="shared" si="0"/>
        <v>0.55000000000000004</v>
      </c>
    </row>
    <row r="38" spans="2:8" x14ac:dyDescent="0.25">
      <c r="B38" t="s">
        <v>45</v>
      </c>
      <c r="C38" s="4">
        <f t="shared" si="0"/>
        <v>0.04</v>
      </c>
      <c r="D38" s="4">
        <f t="shared" si="0"/>
        <v>3.5000000000000003E-2</v>
      </c>
      <c r="E38" s="4">
        <f t="shared" si="0"/>
        <v>7.4999999999999997E-2</v>
      </c>
      <c r="F38" s="4">
        <f t="shared" si="0"/>
        <v>7.4999999999999997E-2</v>
      </c>
      <c r="G38" s="4">
        <f t="shared" si="0"/>
        <v>7.4999999999999997E-2</v>
      </c>
      <c r="H38" s="4">
        <f t="shared" si="0"/>
        <v>7.4999999999999997E-2</v>
      </c>
    </row>
    <row r="39" spans="2:8" x14ac:dyDescent="0.25">
      <c r="B39" t="s">
        <v>46</v>
      </c>
      <c r="C39" s="6">
        <f t="shared" si="0"/>
        <v>500</v>
      </c>
      <c r="D39" s="6">
        <f t="shared" si="0"/>
        <v>520</v>
      </c>
      <c r="E39" s="6">
        <f t="shared" si="0"/>
        <v>535</v>
      </c>
      <c r="F39" s="6">
        <f t="shared" si="0"/>
        <v>540</v>
      </c>
      <c r="G39" s="6">
        <f t="shared" si="0"/>
        <v>545</v>
      </c>
      <c r="H39" s="6">
        <f t="shared" si="0"/>
        <v>550</v>
      </c>
    </row>
    <row r="41" spans="2:8" x14ac:dyDescent="0.25">
      <c r="B41" s="2" t="s">
        <v>50</v>
      </c>
      <c r="C41" s="2" t="s">
        <v>51</v>
      </c>
      <c r="D41" s="2" t="s">
        <v>52</v>
      </c>
      <c r="E41" s="2" t="s">
        <v>53</v>
      </c>
      <c r="F41" s="2" t="s">
        <v>54</v>
      </c>
      <c r="G41" s="2" t="s">
        <v>55</v>
      </c>
    </row>
    <row r="42" spans="2:8" x14ac:dyDescent="0.25">
      <c r="B42" t="s">
        <v>56</v>
      </c>
      <c r="C42" s="12">
        <v>11.2</v>
      </c>
      <c r="D42" s="12">
        <v>11.2</v>
      </c>
      <c r="E42" s="12">
        <v>11.2</v>
      </c>
      <c r="F42" s="15">
        <f t="shared" ref="F42:F63" si="1">CHOOSE($C$3,C42,D42,E42)</f>
        <v>11.2</v>
      </c>
      <c r="G42" t="s">
        <v>57</v>
      </c>
    </row>
    <row r="43" spans="2:8" x14ac:dyDescent="0.25">
      <c r="B43" t="s">
        <v>58</v>
      </c>
      <c r="C43" s="13">
        <v>0.128</v>
      </c>
      <c r="D43" s="13">
        <v>0.128</v>
      </c>
      <c r="E43" s="13">
        <v>0.128</v>
      </c>
      <c r="F43" s="4">
        <f t="shared" si="1"/>
        <v>0.128</v>
      </c>
      <c r="G43" t="s">
        <v>59</v>
      </c>
    </row>
    <row r="44" spans="2:8" x14ac:dyDescent="0.25">
      <c r="B44" t="s">
        <v>60</v>
      </c>
      <c r="C44" s="13">
        <v>1.2E-2</v>
      </c>
      <c r="D44" s="13">
        <v>1.2E-2</v>
      </c>
      <c r="E44" s="13">
        <v>1.2E-2</v>
      </c>
      <c r="F44" s="4">
        <f t="shared" si="1"/>
        <v>1.2E-2</v>
      </c>
    </row>
    <row r="45" spans="2:8" x14ac:dyDescent="0.25">
      <c r="B45" t="s">
        <v>61</v>
      </c>
      <c r="C45" s="12">
        <v>125</v>
      </c>
      <c r="D45" s="12">
        <v>125</v>
      </c>
      <c r="E45" s="12">
        <v>125</v>
      </c>
      <c r="F45" s="15">
        <f t="shared" si="1"/>
        <v>125</v>
      </c>
    </row>
    <row r="46" spans="2:8" x14ac:dyDescent="0.25">
      <c r="B46" t="s">
        <v>62</v>
      </c>
      <c r="C46" s="12">
        <v>-20</v>
      </c>
      <c r="D46" s="12">
        <v>-20</v>
      </c>
      <c r="E46" s="12">
        <v>-20</v>
      </c>
      <c r="F46" s="15">
        <f t="shared" si="1"/>
        <v>-20</v>
      </c>
    </row>
    <row r="47" spans="2:8" x14ac:dyDescent="0.25">
      <c r="B47" t="s">
        <v>63</v>
      </c>
      <c r="C47" s="13">
        <v>0.15</v>
      </c>
      <c r="D47" s="13">
        <v>0.15</v>
      </c>
      <c r="E47" s="13">
        <v>0.15</v>
      </c>
      <c r="F47" s="4">
        <f t="shared" si="1"/>
        <v>0.15</v>
      </c>
    </row>
    <row r="48" spans="2:8" x14ac:dyDescent="0.25">
      <c r="B48" t="s">
        <v>64</v>
      </c>
      <c r="C48" s="12">
        <v>400</v>
      </c>
      <c r="D48" s="12">
        <v>400</v>
      </c>
      <c r="E48" s="12">
        <v>400</v>
      </c>
      <c r="F48" s="15">
        <f t="shared" si="1"/>
        <v>400</v>
      </c>
    </row>
    <row r="49" spans="2:7" x14ac:dyDescent="0.25">
      <c r="B49" t="s">
        <v>65</v>
      </c>
      <c r="C49" s="12">
        <v>350</v>
      </c>
      <c r="D49" s="12">
        <v>350</v>
      </c>
      <c r="E49" s="12">
        <v>350</v>
      </c>
      <c r="F49" s="15">
        <f t="shared" si="1"/>
        <v>350</v>
      </c>
    </row>
    <row r="50" spans="2:7" x14ac:dyDescent="0.25">
      <c r="B50" t="s">
        <v>66</v>
      </c>
      <c r="C50" s="12">
        <v>30</v>
      </c>
      <c r="D50" s="12">
        <v>30</v>
      </c>
      <c r="E50" s="12">
        <v>30</v>
      </c>
      <c r="F50" s="15">
        <f t="shared" si="1"/>
        <v>30</v>
      </c>
    </row>
    <row r="51" spans="2:7" x14ac:dyDescent="0.25">
      <c r="B51" t="s">
        <v>67</v>
      </c>
      <c r="C51" s="13">
        <v>0.3</v>
      </c>
      <c r="D51" s="13">
        <v>0.3</v>
      </c>
      <c r="E51" s="13">
        <v>0.3</v>
      </c>
      <c r="F51" s="4">
        <f t="shared" si="1"/>
        <v>0.3</v>
      </c>
    </row>
    <row r="52" spans="2:7" x14ac:dyDescent="0.25">
      <c r="B52" t="s">
        <v>68</v>
      </c>
      <c r="C52" s="12">
        <v>100</v>
      </c>
      <c r="D52" s="12">
        <v>250</v>
      </c>
      <c r="E52" s="12">
        <v>400</v>
      </c>
      <c r="F52" s="15">
        <f t="shared" si="1"/>
        <v>250</v>
      </c>
    </row>
    <row r="53" spans="2:7" x14ac:dyDescent="0.25">
      <c r="B53" t="s">
        <v>69</v>
      </c>
      <c r="C53" s="12">
        <v>135</v>
      </c>
      <c r="D53" s="12">
        <v>115</v>
      </c>
      <c r="E53" s="12">
        <v>105</v>
      </c>
      <c r="F53" s="15">
        <f t="shared" si="1"/>
        <v>115</v>
      </c>
    </row>
    <row r="54" spans="2:7" x14ac:dyDescent="0.25">
      <c r="B54" t="s">
        <v>70</v>
      </c>
      <c r="C54" s="13">
        <v>0.05</v>
      </c>
      <c r="D54" s="13">
        <v>0.05</v>
      </c>
      <c r="E54" s="13">
        <v>0.05</v>
      </c>
      <c r="F54" s="4">
        <f t="shared" si="1"/>
        <v>0.05</v>
      </c>
    </row>
    <row r="55" spans="2:7" x14ac:dyDescent="0.25">
      <c r="B55" t="s">
        <v>71</v>
      </c>
      <c r="C55" s="13">
        <v>0.13500000000000001</v>
      </c>
      <c r="D55" s="13">
        <v>0.13500000000000001</v>
      </c>
      <c r="E55" s="13">
        <v>0.13500000000000001</v>
      </c>
      <c r="F55" s="4">
        <f t="shared" si="1"/>
        <v>0.13500000000000001</v>
      </c>
    </row>
    <row r="56" spans="2:7" x14ac:dyDescent="0.25">
      <c r="B56" t="s">
        <v>72</v>
      </c>
      <c r="C56" s="13">
        <v>0.25</v>
      </c>
      <c r="D56" s="13">
        <v>0.25</v>
      </c>
      <c r="E56" s="13">
        <v>0.25</v>
      </c>
      <c r="F56" s="4">
        <f t="shared" si="1"/>
        <v>0.25</v>
      </c>
    </row>
    <row r="57" spans="2:7" x14ac:dyDescent="0.25">
      <c r="B57" t="s">
        <v>73</v>
      </c>
      <c r="C57" s="13">
        <v>0.10299999999999999</v>
      </c>
      <c r="D57" s="13">
        <v>0.10299999999999999</v>
      </c>
      <c r="E57" s="13">
        <v>0.10299999999999999</v>
      </c>
      <c r="F57" s="4">
        <f t="shared" si="1"/>
        <v>0.10299999999999999</v>
      </c>
      <c r="G57" t="s">
        <v>74</v>
      </c>
    </row>
    <row r="58" spans="2:7" x14ac:dyDescent="0.25">
      <c r="B58" t="s">
        <v>75</v>
      </c>
      <c r="C58" s="13">
        <v>0.123</v>
      </c>
      <c r="D58" s="13">
        <v>0.123</v>
      </c>
      <c r="E58" s="13">
        <v>0.123</v>
      </c>
      <c r="F58" s="4">
        <f t="shared" si="1"/>
        <v>0.123</v>
      </c>
      <c r="G58" t="s">
        <v>76</v>
      </c>
    </row>
    <row r="59" spans="2:7" x14ac:dyDescent="0.25">
      <c r="B59" t="s">
        <v>77</v>
      </c>
      <c r="C59" s="13">
        <v>0.03</v>
      </c>
      <c r="D59" s="13">
        <v>0.03</v>
      </c>
      <c r="E59" s="13">
        <v>0.03</v>
      </c>
      <c r="F59" s="4">
        <f t="shared" si="1"/>
        <v>0.03</v>
      </c>
    </row>
    <row r="60" spans="2:7" x14ac:dyDescent="0.25">
      <c r="B60" t="s">
        <v>78</v>
      </c>
      <c r="C60" s="16">
        <v>4.75</v>
      </c>
      <c r="D60" s="16">
        <v>5.25</v>
      </c>
      <c r="E60" s="16">
        <v>5.75</v>
      </c>
      <c r="F60" s="7">
        <f t="shared" si="1"/>
        <v>5.25</v>
      </c>
      <c r="G60" t="s">
        <v>79</v>
      </c>
    </row>
    <row r="61" spans="2:7" x14ac:dyDescent="0.25">
      <c r="B61" t="s">
        <v>80</v>
      </c>
      <c r="C61" s="16">
        <v>6.5</v>
      </c>
      <c r="D61" s="16">
        <v>8</v>
      </c>
      <c r="E61" s="16">
        <v>9.5</v>
      </c>
      <c r="F61" s="7">
        <f t="shared" si="1"/>
        <v>8</v>
      </c>
    </row>
    <row r="62" spans="2:7" x14ac:dyDescent="0.25">
      <c r="B62" t="s">
        <v>81</v>
      </c>
      <c r="C62" s="17">
        <v>959.39</v>
      </c>
      <c r="D62" s="17">
        <v>959.39</v>
      </c>
      <c r="E62" s="17">
        <v>959.39</v>
      </c>
      <c r="F62" s="3">
        <f t="shared" si="1"/>
        <v>959.39</v>
      </c>
      <c r="G62" t="s">
        <v>82</v>
      </c>
    </row>
    <row r="63" spans="2:7" x14ac:dyDescent="0.25">
      <c r="B63" t="s">
        <v>83</v>
      </c>
      <c r="C63" s="12">
        <v>6374.35</v>
      </c>
      <c r="D63" s="12">
        <v>6374.35</v>
      </c>
      <c r="E63" s="12">
        <v>6374.35</v>
      </c>
      <c r="F63" s="15">
        <f t="shared" si="1"/>
        <v>6374.35</v>
      </c>
      <c r="G63" t="s">
        <v>84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4"/>
  <sheetViews>
    <sheetView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2" customWidth="1"/>
    <col min="2" max="2" width="42" customWidth="1"/>
    <col min="3" max="12" width="11" customWidth="1"/>
  </cols>
  <sheetData>
    <row r="1" spans="1:12" ht="17.25" x14ac:dyDescent="0.3">
      <c r="A1" s="9" t="s">
        <v>85</v>
      </c>
    </row>
    <row r="2" spans="1:12" x14ac:dyDescent="0.25">
      <c r="A2" t="s">
        <v>86</v>
      </c>
    </row>
    <row r="4" spans="1:12" x14ac:dyDescent="0.25">
      <c r="C4" s="2" t="s">
        <v>87</v>
      </c>
      <c r="D4" s="2" t="s">
        <v>88</v>
      </c>
      <c r="E4" s="2" t="s">
        <v>89</v>
      </c>
      <c r="F4" s="2" t="s">
        <v>90</v>
      </c>
      <c r="G4" s="2" t="s">
        <v>91</v>
      </c>
      <c r="H4" s="2" t="s">
        <v>92</v>
      </c>
      <c r="I4" s="2" t="s">
        <v>93</v>
      </c>
      <c r="J4" s="2" t="s">
        <v>94</v>
      </c>
      <c r="K4" s="5" t="s">
        <v>95</v>
      </c>
      <c r="L4" s="5" t="s">
        <v>96</v>
      </c>
    </row>
    <row r="5" spans="1:12" x14ac:dyDescent="0.25">
      <c r="B5" s="10" t="s">
        <v>97</v>
      </c>
    </row>
    <row r="6" spans="1:12" x14ac:dyDescent="0.25">
      <c r="B6" t="s">
        <v>98</v>
      </c>
      <c r="E6" s="18">
        <f>Hist_Trim!M5</f>
        <v>44517</v>
      </c>
      <c r="F6" s="18">
        <f>Hist_Trim!N5</f>
        <v>44175</v>
      </c>
      <c r="G6" s="18">
        <f>Hist_Trim!K5</f>
        <v>41257</v>
      </c>
      <c r="H6" s="18">
        <f>Hist_Trim!L5</f>
        <v>40863.186395999997</v>
      </c>
      <c r="I6" s="18">
        <f>Hist_Trim!M5</f>
        <v>44517</v>
      </c>
      <c r="J6" s="18">
        <f>Hist_Trim!N5</f>
        <v>44175</v>
      </c>
    </row>
    <row r="7" spans="1:12" x14ac:dyDescent="0.25">
      <c r="B7" t="s">
        <v>99</v>
      </c>
      <c r="E7" s="19">
        <f>Hist_Trim!M20</f>
        <v>8.6625311678684547</v>
      </c>
      <c r="F7" s="19">
        <f>Hist_Trim!N20</f>
        <v>8.9395540464063394</v>
      </c>
      <c r="G7" s="19">
        <f>Hist_Trim!K20</f>
        <v>8.2667207988947329</v>
      </c>
      <c r="H7" s="19">
        <f>Hist_Trim!L20</f>
        <v>8.024440307281024</v>
      </c>
      <c r="I7" s="19">
        <f>Hist_Trim!M20</f>
        <v>8.6625311678684547</v>
      </c>
      <c r="J7" s="19">
        <f>Hist_Trim!N20</f>
        <v>8.9395540464063394</v>
      </c>
    </row>
    <row r="8" spans="1:12" x14ac:dyDescent="0.25">
      <c r="B8" t="s">
        <v>100</v>
      </c>
      <c r="E8" s="19">
        <f>Hist_Trim!M21</f>
        <v>2.1914324864658448</v>
      </c>
      <c r="F8" s="19">
        <f>Hist_Trim!N21</f>
        <v>2.192405206564799</v>
      </c>
      <c r="G8" s="19">
        <f>Hist_Trim!K21</f>
        <v>2.3607218169037982</v>
      </c>
      <c r="H8" s="19">
        <f>Hist_Trim!L21</f>
        <v>2.1701758433767346</v>
      </c>
      <c r="I8" s="19">
        <f>Hist_Trim!M21</f>
        <v>2.1914324864658448</v>
      </c>
      <c r="J8" s="19">
        <f>Hist_Trim!N21</f>
        <v>2.192405206564799</v>
      </c>
    </row>
    <row r="9" spans="1:12" x14ac:dyDescent="0.25">
      <c r="B9" t="s">
        <v>101</v>
      </c>
      <c r="E9" s="19">
        <f>Hist_Trim!M22</f>
        <v>4.9036509227935392</v>
      </c>
      <c r="F9" s="19">
        <f>Hist_Trim!N22</f>
        <v>5.2505262104107304</v>
      </c>
      <c r="G9" s="19">
        <f>Hist_Trim!K22</f>
        <v>4.5165838524371624</v>
      </c>
      <c r="H9" s="19">
        <f>Hist_Trim!L22</f>
        <v>4.8195776533784533</v>
      </c>
      <c r="I9" s="19">
        <f>Hist_Trim!M22</f>
        <v>4.9036509227935392</v>
      </c>
      <c r="J9" s="19">
        <f>Hist_Trim!N22</f>
        <v>5.2505262104107304</v>
      </c>
    </row>
    <row r="10" spans="1:12" x14ac:dyDescent="0.25">
      <c r="B10" t="s">
        <v>102</v>
      </c>
      <c r="E10" s="20">
        <f>Hist_Trim!M23</f>
        <v>8.3829323629175381</v>
      </c>
      <c r="F10" s="20">
        <f>Hist_Trim!N23</f>
        <v>8.509767968307866</v>
      </c>
      <c r="G10" s="20">
        <f>Hist_Trim!K23</f>
        <v>8.4349322539205467</v>
      </c>
      <c r="H10" s="20">
        <f>Hist_Trim!L23</f>
        <v>8.4952993297160297</v>
      </c>
      <c r="I10" s="20">
        <f>Hist_Trim!M23</f>
        <v>8.3829323629175381</v>
      </c>
      <c r="J10" s="20">
        <f>Hist_Trim!N23</f>
        <v>8.509767968307866</v>
      </c>
    </row>
    <row r="12" spans="1:12" x14ac:dyDescent="0.25">
      <c r="B12" t="s">
        <v>42</v>
      </c>
      <c r="E12" s="21">
        <f>Supuestos!$C$35</f>
        <v>7.8E-2</v>
      </c>
      <c r="F12" s="21">
        <f>Supuestos!$D$35</f>
        <v>8.5000000000000006E-2</v>
      </c>
      <c r="G12" s="21">
        <f>Supuestos!$E$35</f>
        <v>6.5000000000000002E-2</v>
      </c>
      <c r="H12" s="21">
        <f>Supuestos!$F$35</f>
        <v>6.5000000000000002E-2</v>
      </c>
      <c r="I12" s="21">
        <f>Supuestos!$G$35</f>
        <v>6.5000000000000002E-2</v>
      </c>
      <c r="J12" s="21">
        <f>Supuestos!$H$35</f>
        <v>6.5000000000000002E-2</v>
      </c>
    </row>
    <row r="13" spans="1:12" x14ac:dyDescent="0.25">
      <c r="B13" t="s">
        <v>103</v>
      </c>
      <c r="C13" s="18">
        <f>Hist_Trim!O5</f>
        <v>45539</v>
      </c>
      <c r="D13" s="18">
        <f>Hist_Trim!P5</f>
        <v>44489</v>
      </c>
      <c r="E13" s="6">
        <f>E6*(1+E12)</f>
        <v>47989.326000000001</v>
      </c>
      <c r="F13" s="6">
        <f>F6*(1+F12)</f>
        <v>47929.875</v>
      </c>
      <c r="G13" s="6">
        <f>C13*(1+G12)</f>
        <v>48499.034999999996</v>
      </c>
      <c r="H13" s="6">
        <f>D13*(1+H12)</f>
        <v>47380.784999999996</v>
      </c>
      <c r="I13" s="6">
        <f>E13*(1+I12)</f>
        <v>51108.632189999997</v>
      </c>
      <c r="J13" s="6">
        <f>F13*(1+J12)</f>
        <v>51045.316874999997</v>
      </c>
      <c r="K13" s="6">
        <f>SUM(C13:F13)</f>
        <v>185947.201</v>
      </c>
      <c r="L13" s="6">
        <f>SUM(G13:J13)</f>
        <v>198033.76906499997</v>
      </c>
    </row>
    <row r="14" spans="1:12" x14ac:dyDescent="0.25">
      <c r="B14" t="s">
        <v>104</v>
      </c>
      <c r="C14" s="20">
        <f>Hist_Trim!O23</f>
        <v>8.4109664243834956</v>
      </c>
      <c r="D14" s="20">
        <f>Hist_Trim!P23</f>
        <v>8.3352498370383685</v>
      </c>
      <c r="E14" s="22">
        <f>E10*(1-Supuestos!$F$44)^1</f>
        <v>8.282337174562528</v>
      </c>
      <c r="F14" s="22">
        <f>F10*(1-Supuestos!$F$44)^1</f>
        <v>8.4076507526881716</v>
      </c>
      <c r="G14" s="22">
        <f>G10*(1-Supuestos!$F$44)^2</f>
        <v>8.2337085100710183</v>
      </c>
      <c r="H14" s="22">
        <f>H10*(1-Supuestos!$F$44)^2</f>
        <v>8.2926354689063242</v>
      </c>
      <c r="I14" s="22">
        <f>I10*(1-Supuestos!$F$44)^2</f>
        <v>8.1829491284677776</v>
      </c>
      <c r="J14" s="22">
        <f>J10*(1-Supuestos!$F$44)^2</f>
        <v>8.3067589436559128</v>
      </c>
    </row>
    <row r="15" spans="1:12" x14ac:dyDescent="0.25">
      <c r="B15" t="s">
        <v>105</v>
      </c>
      <c r="C15" s="23">
        <f>Hist_Trim!O7</f>
        <v>383.02699999999999</v>
      </c>
      <c r="D15" s="23">
        <f>Hist_Trim!P7</f>
        <v>370.82693</v>
      </c>
      <c r="E15" s="15">
        <f t="shared" ref="E15:J15" si="0">E13*E14/1000</f>
        <v>397.46377871200008</v>
      </c>
      <c r="F15" s="15">
        <f t="shared" si="0"/>
        <v>402.97764961999997</v>
      </c>
      <c r="G15" s="15">
        <f t="shared" si="0"/>
        <v>399.32691720973213</v>
      </c>
      <c r="H15" s="15">
        <f t="shared" si="0"/>
        <v>392.91157823562469</v>
      </c>
      <c r="I15" s="15">
        <f t="shared" si="0"/>
        <v>418.21933723634066</v>
      </c>
      <c r="J15" s="15">
        <f t="shared" si="0"/>
        <v>424.02114248315627</v>
      </c>
      <c r="K15" s="15">
        <f>SUM(C15:F15)</f>
        <v>1554.295358332</v>
      </c>
      <c r="L15" s="15">
        <f>SUM(G15:J15)</f>
        <v>1634.4789751648536</v>
      </c>
    </row>
    <row r="16" spans="1:12" x14ac:dyDescent="0.25">
      <c r="B16" t="s">
        <v>106</v>
      </c>
      <c r="E16" s="23">
        <f>Supuestos!$C$33</f>
        <v>142.4</v>
      </c>
      <c r="F16" s="23">
        <f>Supuestos!$D$33</f>
        <v>180.4</v>
      </c>
      <c r="G16" s="23">
        <f>Supuestos!$E$33</f>
        <v>168</v>
      </c>
      <c r="H16" s="23">
        <f>Supuestos!$F$33</f>
        <v>153.69999999999999</v>
      </c>
      <c r="I16" s="23">
        <f>Supuestos!$G$33</f>
        <v>140.4</v>
      </c>
      <c r="J16" s="23">
        <f>Supuestos!$H$33</f>
        <v>132.69999999999999</v>
      </c>
    </row>
    <row r="17" spans="2:12" x14ac:dyDescent="0.25">
      <c r="B17" t="s">
        <v>107</v>
      </c>
      <c r="E17" s="15">
        <f>Supuestos!$F$42+Supuestos!$F$43*E16</f>
        <v>29.427199999999999</v>
      </c>
      <c r="F17" s="15">
        <f>Supuestos!$F$42+Supuestos!$F$43*F16</f>
        <v>34.291200000000003</v>
      </c>
      <c r="G17" s="15">
        <f>Supuestos!$F$42+Supuestos!$F$43*G16</f>
        <v>32.704000000000001</v>
      </c>
      <c r="H17" s="15">
        <f>Supuestos!$F$42+Supuestos!$F$43*H16</f>
        <v>30.8736</v>
      </c>
      <c r="I17" s="15">
        <f>Supuestos!$F$42+Supuestos!$F$43*I16</f>
        <v>29.171199999999999</v>
      </c>
      <c r="J17" s="15">
        <f>Supuestos!$F$42+Supuestos!$F$43*J16</f>
        <v>28.185599999999997</v>
      </c>
    </row>
    <row r="18" spans="2:12" x14ac:dyDescent="0.25">
      <c r="B18" t="s">
        <v>108</v>
      </c>
      <c r="C18" s="23">
        <f>Hist_Trim!O24</f>
        <v>113.70342038550807</v>
      </c>
      <c r="D18" s="23">
        <f>Hist_Trim!P24</f>
        <v>193.92204875735428</v>
      </c>
      <c r="E18" s="15">
        <f t="shared" ref="E18:J18" si="1">E16+E17</f>
        <v>171.8272</v>
      </c>
      <c r="F18" s="15">
        <f t="shared" si="1"/>
        <v>214.69120000000001</v>
      </c>
      <c r="G18" s="15">
        <f t="shared" si="1"/>
        <v>200.70400000000001</v>
      </c>
      <c r="H18" s="15">
        <f t="shared" si="1"/>
        <v>184.5736</v>
      </c>
      <c r="I18" s="15">
        <f t="shared" si="1"/>
        <v>169.5712</v>
      </c>
      <c r="J18" s="15">
        <f t="shared" si="1"/>
        <v>160.88559999999998</v>
      </c>
      <c r="K18" s="15">
        <f>K20/K15*42</f>
        <v>172.94257486303513</v>
      </c>
      <c r="L18" s="15">
        <f>L20/L15*42</f>
        <v>178.53057108814789</v>
      </c>
    </row>
    <row r="19" spans="2:12" x14ac:dyDescent="0.25">
      <c r="B19" t="s">
        <v>109</v>
      </c>
      <c r="E19" s="23">
        <f>Supuestos!$C$34</f>
        <v>15</v>
      </c>
      <c r="F19" s="23">
        <f>Supuestos!$D$34</f>
        <v>20</v>
      </c>
      <c r="G19" s="23">
        <f>Supuestos!$E$34</f>
        <v>0</v>
      </c>
      <c r="H19" s="23">
        <f>Supuestos!$F$34</f>
        <v>0</v>
      </c>
      <c r="I19" s="23">
        <f>Supuestos!$G$34</f>
        <v>0</v>
      </c>
      <c r="J19" s="23">
        <f>Supuestos!$H$34</f>
        <v>0</v>
      </c>
    </row>
    <row r="20" spans="2:12" x14ac:dyDescent="0.25">
      <c r="B20" t="s">
        <v>110</v>
      </c>
      <c r="C20" s="23">
        <f>Hist_Trim!O11/1000</f>
        <v>1036.94</v>
      </c>
      <c r="D20" s="23">
        <f>Hist_Trim!P11/1000</f>
        <v>1712.1790000000001</v>
      </c>
      <c r="E20" s="15">
        <f t="shared" ref="E20:J20" si="2">E15*E18/42-E19</f>
        <v>1611.0735285119663</v>
      </c>
      <c r="F20" s="15">
        <f t="shared" si="2"/>
        <v>2039.8989326213655</v>
      </c>
      <c r="G20" s="15">
        <f t="shared" si="2"/>
        <v>1908.2502283729066</v>
      </c>
      <c r="H20" s="15">
        <f t="shared" si="2"/>
        <v>1726.6929637293069</v>
      </c>
      <c r="I20" s="15">
        <f t="shared" si="2"/>
        <v>1688.522735199309</v>
      </c>
      <c r="J20" s="15">
        <f t="shared" si="2"/>
        <v>1624.2594266925735</v>
      </c>
      <c r="K20" s="15">
        <f>SUM(C20:F20)</f>
        <v>6400.0914611333319</v>
      </c>
      <c r="L20" s="15">
        <f>SUM(G20:J20)</f>
        <v>6947.7253539940957</v>
      </c>
    </row>
    <row r="21" spans="2:12" x14ac:dyDescent="0.25">
      <c r="B21" t="s">
        <v>111</v>
      </c>
      <c r="C21" s="19">
        <f>Hist_Trim!O21</f>
        <v>2.2770372647620722</v>
      </c>
      <c r="D21" s="19">
        <f>Hist_Trim!P21</f>
        <v>3.8485445840544856</v>
      </c>
      <c r="E21" s="8">
        <f t="shared" ref="E21:L21" si="3">E20/E13*100</f>
        <v>3.3571497305712654</v>
      </c>
      <c r="F21" s="8">
        <f t="shared" si="3"/>
        <v>4.2560072034850194</v>
      </c>
      <c r="G21" s="8">
        <f t="shared" si="3"/>
        <v>3.9346148400126042</v>
      </c>
      <c r="H21" s="8">
        <f t="shared" si="3"/>
        <v>3.6442894809136388</v>
      </c>
      <c r="I21" s="8">
        <f t="shared" si="3"/>
        <v>3.3037916744124649</v>
      </c>
      <c r="J21" s="8">
        <f t="shared" si="3"/>
        <v>3.1819949921558273</v>
      </c>
      <c r="K21" s="8">
        <f t="shared" si="3"/>
        <v>3.4418864208304658</v>
      </c>
      <c r="L21" s="8">
        <f t="shared" si="3"/>
        <v>3.5083538463148005</v>
      </c>
    </row>
    <row r="23" spans="2:12" x14ac:dyDescent="0.25">
      <c r="B23" t="s">
        <v>112</v>
      </c>
      <c r="E23" s="21">
        <f>Supuestos!$C$36</f>
        <v>5.2999999999999999E-2</v>
      </c>
      <c r="F23" s="21">
        <f>Supuestos!$D$36</f>
        <v>0.04</v>
      </c>
      <c r="G23" s="21">
        <f>Supuestos!$E$36</f>
        <v>7.4999999999999997E-2</v>
      </c>
      <c r="H23" s="21">
        <f>Supuestos!$F$36</f>
        <v>7.4999999999999997E-2</v>
      </c>
      <c r="I23" s="21">
        <f>Supuestos!$G$36</f>
        <v>7.4999999999999997E-2</v>
      </c>
      <c r="J23" s="21">
        <f>Supuestos!$H$36</f>
        <v>7.4999999999999997E-2</v>
      </c>
    </row>
    <row r="24" spans="2:12" x14ac:dyDescent="0.25">
      <c r="B24" t="s">
        <v>113</v>
      </c>
      <c r="E24" s="21">
        <f>Supuestos!$C$37</f>
        <v>0.55000000000000004</v>
      </c>
      <c r="F24" s="21">
        <f>Supuestos!$D$37</f>
        <v>0.55000000000000004</v>
      </c>
      <c r="G24" s="21">
        <f>Supuestos!$E$37</f>
        <v>0.55000000000000004</v>
      </c>
      <c r="H24" s="21">
        <f>Supuestos!$F$37</f>
        <v>0.55000000000000004</v>
      </c>
      <c r="I24" s="21">
        <f>Supuestos!$G$37</f>
        <v>0.55000000000000004</v>
      </c>
      <c r="J24" s="21">
        <f>Supuestos!$H$37</f>
        <v>0.55000000000000004</v>
      </c>
    </row>
    <row r="25" spans="2:12" x14ac:dyDescent="0.25">
      <c r="B25" t="s">
        <v>114</v>
      </c>
      <c r="C25" s="19">
        <f>Hist_Trim!O20</f>
        <v>9.1148070884296963</v>
      </c>
      <c r="D25" s="19">
        <f>Hist_Trim!P20</f>
        <v>9.4015104857380472</v>
      </c>
      <c r="E25" s="8">
        <f t="shared" ref="E25:J25" si="4">E7*(1+E23)+E24*(E21-E8)</f>
        <v>9.7627898040234644</v>
      </c>
      <c r="F25" s="8">
        <f t="shared" si="4"/>
        <v>10.432117306568713</v>
      </c>
      <c r="G25" s="8">
        <f t="shared" si="4"/>
        <v>9.7523660215216808</v>
      </c>
      <c r="H25" s="8">
        <f t="shared" si="4"/>
        <v>9.4370358309723983</v>
      </c>
      <c r="I25" s="8">
        <f t="shared" si="4"/>
        <v>9.9240185588292302</v>
      </c>
      <c r="J25" s="8">
        <f t="shared" si="4"/>
        <v>10.154294981961881</v>
      </c>
      <c r="K25" s="8">
        <f>K26/K13*100</f>
        <v>9.6901850168959172</v>
      </c>
      <c r="L25" s="8">
        <f>L26/L13*100</f>
        <v>9.8248229850282804</v>
      </c>
    </row>
    <row r="26" spans="2:12" x14ac:dyDescent="0.25">
      <c r="B26" s="10" t="s">
        <v>115</v>
      </c>
      <c r="C26" s="23">
        <f>Hist_Trim!O8/1000</f>
        <v>4150.7920000000004</v>
      </c>
      <c r="D26" s="23">
        <f>Hist_Trim!P8/1000</f>
        <v>4182.6379999999999</v>
      </c>
      <c r="E26" s="15">
        <f t="shared" ref="E26:J26" si="5">E25*E13/100</f>
        <v>4685.0970257475819</v>
      </c>
      <c r="F26" s="15">
        <f t="shared" si="5"/>
        <v>5000.1007848917516</v>
      </c>
      <c r="G26" s="15">
        <f t="shared" si="5"/>
        <v>4729.8034101059075</v>
      </c>
      <c r="H26" s="15">
        <f t="shared" si="5"/>
        <v>4471.3416574459952</v>
      </c>
      <c r="I26" s="15">
        <f t="shared" si="5"/>
        <v>5072.0301436993695</v>
      </c>
      <c r="J26" s="15">
        <f t="shared" si="5"/>
        <v>5183.2920499646661</v>
      </c>
      <c r="K26" s="15">
        <f>SUM(C26:F26)</f>
        <v>18018.627810639333</v>
      </c>
      <c r="L26" s="15">
        <f>SUM(G26:J26)</f>
        <v>19456.467261215941</v>
      </c>
    </row>
    <row r="27" spans="2:12" x14ac:dyDescent="0.25">
      <c r="B27" t="s">
        <v>116</v>
      </c>
      <c r="E27" s="21">
        <f>Supuestos!$C$38</f>
        <v>0.04</v>
      </c>
      <c r="F27" s="21">
        <f>Supuestos!$D$38</f>
        <v>3.5000000000000003E-2</v>
      </c>
      <c r="G27" s="21">
        <f>Supuestos!$E$38</f>
        <v>7.4999999999999997E-2</v>
      </c>
      <c r="H27" s="21">
        <f>Supuestos!$F$38</f>
        <v>7.4999999999999997E-2</v>
      </c>
      <c r="I27" s="21">
        <f>Supuestos!$G$38</f>
        <v>7.4999999999999997E-2</v>
      </c>
      <c r="J27" s="21">
        <f>Supuestos!$H$38</f>
        <v>7.4999999999999997E-2</v>
      </c>
    </row>
    <row r="28" spans="2:12" x14ac:dyDescent="0.25">
      <c r="B28" t="s">
        <v>28</v>
      </c>
      <c r="C28" s="19">
        <f>Hist_Trim!O22</f>
        <v>5.0315751334021384</v>
      </c>
      <c r="D28" s="19">
        <f>Hist_Trim!P22</f>
        <v>5.0428047467463859</v>
      </c>
      <c r="E28" s="8">
        <f t="shared" ref="E28:J28" si="6">E9*(1+E27)</f>
        <v>5.099796959705281</v>
      </c>
      <c r="F28" s="8">
        <f t="shared" si="6"/>
        <v>5.4342946277751052</v>
      </c>
      <c r="G28" s="8">
        <f t="shared" si="6"/>
        <v>4.8553276413699491</v>
      </c>
      <c r="H28" s="8">
        <f t="shared" si="6"/>
        <v>5.1810459773818369</v>
      </c>
      <c r="I28" s="8">
        <f t="shared" si="6"/>
        <v>5.2714247420030542</v>
      </c>
      <c r="J28" s="8">
        <f t="shared" si="6"/>
        <v>5.6443156761915354</v>
      </c>
      <c r="K28" s="8">
        <f>K29/K13*100</f>
        <v>5.1556738486939517</v>
      </c>
      <c r="L28" s="8">
        <f>L29/L13*100</f>
        <v>5.2440143220920969</v>
      </c>
    </row>
    <row r="29" spans="2:12" x14ac:dyDescent="0.25">
      <c r="B29" t="s">
        <v>117</v>
      </c>
      <c r="C29" s="23">
        <f>(Hist_Trim!O12-Hist_Trim!O11)/1000</f>
        <v>2291.3290000000002</v>
      </c>
      <c r="D29" s="23">
        <f>(Hist_Trim!P12-Hist_Trim!P11)/1000</f>
        <v>2243.4934037799999</v>
      </c>
      <c r="E29" s="15">
        <f t="shared" ref="E29:J29" si="7">E28*E13/100</f>
        <v>2447.3581883310558</v>
      </c>
      <c r="F29" s="15">
        <f t="shared" si="7"/>
        <v>2604.6506222243233</v>
      </c>
      <c r="G29" s="15">
        <f t="shared" si="7"/>
        <v>2354.7870521526861</v>
      </c>
      <c r="H29" s="15">
        <f t="shared" si="7"/>
        <v>2454.8202552944367</v>
      </c>
      <c r="I29" s="15">
        <f t="shared" si="7"/>
        <v>2694.153082562997</v>
      </c>
      <c r="J29" s="15">
        <f t="shared" si="7"/>
        <v>2881.1588223372678</v>
      </c>
      <c r="K29" s="15">
        <f>SUM(C29:F29)</f>
        <v>9586.8312143353796</v>
      </c>
      <c r="L29" s="15">
        <f>SUM(G29:J29)</f>
        <v>10384.919212347388</v>
      </c>
    </row>
    <row r="31" spans="2:12" x14ac:dyDescent="0.25">
      <c r="B31" s="10" t="s">
        <v>118</v>
      </c>
      <c r="C31" s="23">
        <f>Hist_Trim!O14/1000</f>
        <v>822.52300000000002</v>
      </c>
      <c r="D31" s="23">
        <f>Hist_Trim!P14/1000</f>
        <v>226.96559622000001</v>
      </c>
      <c r="E31" s="15">
        <f t="shared" ref="E31:J31" si="8">E26-E29-E20</f>
        <v>626.66530890455988</v>
      </c>
      <c r="F31" s="15">
        <f t="shared" si="8"/>
        <v>355.55123004606276</v>
      </c>
      <c r="G31" s="15">
        <f t="shared" si="8"/>
        <v>466.76612958031478</v>
      </c>
      <c r="H31" s="15">
        <f t="shared" si="8"/>
        <v>289.82843842225157</v>
      </c>
      <c r="I31" s="15">
        <f t="shared" si="8"/>
        <v>689.35432593706355</v>
      </c>
      <c r="J31" s="15">
        <f t="shared" si="8"/>
        <v>677.87380093482489</v>
      </c>
      <c r="K31" s="15">
        <f>SUM(C31:F31)</f>
        <v>2031.7051351706227</v>
      </c>
      <c r="L31" s="15">
        <f>SUM(G31:J31)</f>
        <v>2123.822694874455</v>
      </c>
    </row>
    <row r="32" spans="2:12" x14ac:dyDescent="0.25">
      <c r="B32" t="s">
        <v>119</v>
      </c>
      <c r="C32" s="4">
        <f t="shared" ref="C32:L32" si="9">C31/C26</f>
        <v>0.1981604956355317</v>
      </c>
      <c r="D32" s="4">
        <f t="shared" si="9"/>
        <v>5.426374365173367E-2</v>
      </c>
      <c r="E32" s="4">
        <f t="shared" si="9"/>
        <v>0.13375716777275609</v>
      </c>
      <c r="F32" s="4">
        <f t="shared" si="9"/>
        <v>7.1108812670415036E-2</v>
      </c>
      <c r="G32" s="4">
        <f t="shared" si="9"/>
        <v>9.8686158621942216E-2</v>
      </c>
      <c r="H32" s="4">
        <f t="shared" si="9"/>
        <v>6.4819121558203616E-2</v>
      </c>
      <c r="I32" s="4">
        <f t="shared" si="9"/>
        <v>0.13591290004326975</v>
      </c>
      <c r="J32" s="4">
        <f t="shared" si="9"/>
        <v>0.13078055305400857</v>
      </c>
      <c r="K32" s="4">
        <f t="shared" si="9"/>
        <v>0.11275581895148398</v>
      </c>
      <c r="L32" s="4">
        <f t="shared" si="9"/>
        <v>0.10915767319733488</v>
      </c>
    </row>
    <row r="33" spans="2:12" x14ac:dyDescent="0.25">
      <c r="B33" t="s">
        <v>120</v>
      </c>
      <c r="C33" s="23">
        <f>Hist_Trim!O13/1000</f>
        <v>492.25599999999997</v>
      </c>
      <c r="D33" s="23">
        <f>Hist_Trim!P13/1000</f>
        <v>486.05900000000003</v>
      </c>
      <c r="E33" s="23">
        <f>Supuestos!$C$39</f>
        <v>500</v>
      </c>
      <c r="F33" s="23">
        <f>Supuestos!$D$39</f>
        <v>520</v>
      </c>
      <c r="G33" s="23">
        <f>Supuestos!$E$39</f>
        <v>535</v>
      </c>
      <c r="H33" s="23">
        <f>Supuestos!$F$39</f>
        <v>540</v>
      </c>
      <c r="I33" s="23">
        <f>Supuestos!$G$39</f>
        <v>545</v>
      </c>
      <c r="J33" s="23">
        <f>Supuestos!$H$39</f>
        <v>550</v>
      </c>
      <c r="K33" s="15">
        <f>SUM(C33:F33)</f>
        <v>1998.3150000000001</v>
      </c>
      <c r="L33" s="15">
        <f>SUM(G33:J33)</f>
        <v>2170</v>
      </c>
    </row>
    <row r="34" spans="2:12" x14ac:dyDescent="0.25">
      <c r="B34" s="10" t="s">
        <v>121</v>
      </c>
      <c r="C34" s="23">
        <f>Hist_Trim!O15/1000</f>
        <v>1314.779</v>
      </c>
      <c r="D34" s="23">
        <f>Hist_Trim!P15/1000</f>
        <v>713.02459621999992</v>
      </c>
      <c r="E34" s="15">
        <f t="shared" ref="E34:J34" si="10">E31+E33</f>
        <v>1126.6653089045599</v>
      </c>
      <c r="F34" s="15">
        <f t="shared" si="10"/>
        <v>875.55123004606276</v>
      </c>
      <c r="G34" s="15">
        <f t="shared" si="10"/>
        <v>1001.7661295803148</v>
      </c>
      <c r="H34" s="15">
        <f t="shared" si="10"/>
        <v>829.82843842225157</v>
      </c>
      <c r="I34" s="15">
        <f t="shared" si="10"/>
        <v>1234.3543259370635</v>
      </c>
      <c r="J34" s="15">
        <f t="shared" si="10"/>
        <v>1227.8738009348249</v>
      </c>
      <c r="K34" s="24">
        <f>SUM(C34:F34)</f>
        <v>4030.0201351706223</v>
      </c>
      <c r="L34" s="24">
        <f>SUM(G34:J34)</f>
        <v>4293.8226948744541</v>
      </c>
    </row>
    <row r="35" spans="2:12" x14ac:dyDescent="0.25">
      <c r="B35" t="s">
        <v>122</v>
      </c>
      <c r="C35" s="4">
        <f t="shared" ref="C35:L35" si="11">C34/C26</f>
        <v>0.31675376651010212</v>
      </c>
      <c r="D35" s="4">
        <f t="shared" si="11"/>
        <v>0.17047246169044511</v>
      </c>
      <c r="E35" s="4">
        <f t="shared" si="11"/>
        <v>0.24047854349927417</v>
      </c>
      <c r="F35" s="4">
        <f t="shared" si="11"/>
        <v>0.17510671638692135</v>
      </c>
      <c r="G35" s="4">
        <f t="shared" si="11"/>
        <v>0.21179868225387485</v>
      </c>
      <c r="H35" s="4">
        <f t="shared" si="11"/>
        <v>0.18558824218685288</v>
      </c>
      <c r="I35" s="4">
        <f t="shared" si="11"/>
        <v>0.24336494282677246</v>
      </c>
      <c r="J35" s="4">
        <f t="shared" si="11"/>
        <v>0.23689072294184063</v>
      </c>
      <c r="K35" s="4">
        <f t="shared" si="11"/>
        <v>0.22365854811602492</v>
      </c>
      <c r="L35" s="4">
        <f t="shared" si="11"/>
        <v>0.22068871173924046</v>
      </c>
    </row>
    <row r="37" spans="2:12" x14ac:dyDescent="0.25">
      <c r="B37" t="s">
        <v>123</v>
      </c>
      <c r="E37" s="23">
        <f>Supuestos!$F$45</f>
        <v>125</v>
      </c>
      <c r="F37" s="23">
        <f>Supuestos!$F$45</f>
        <v>125</v>
      </c>
      <c r="G37" s="23">
        <f>Supuestos!$F$45</f>
        <v>125</v>
      </c>
      <c r="H37" s="23">
        <f>Supuestos!$F$45</f>
        <v>125</v>
      </c>
      <c r="I37" s="23">
        <f>Supuestos!$F$45</f>
        <v>125</v>
      </c>
      <c r="J37" s="23">
        <f>Supuestos!$F$45</f>
        <v>125</v>
      </c>
    </row>
    <row r="38" spans="2:12" x14ac:dyDescent="0.25">
      <c r="B38" t="s">
        <v>124</v>
      </c>
      <c r="E38" s="23">
        <f>Supuestos!$F$46</f>
        <v>-20</v>
      </c>
      <c r="F38" s="23">
        <f>Supuestos!$F$46</f>
        <v>-20</v>
      </c>
      <c r="G38" s="23">
        <f>Supuestos!$F$46</f>
        <v>-20</v>
      </c>
      <c r="H38" s="23">
        <f>Supuestos!$F$46</f>
        <v>-20</v>
      </c>
      <c r="I38" s="23">
        <f>Supuestos!$F$46</f>
        <v>-20</v>
      </c>
      <c r="J38" s="23">
        <f>Supuestos!$F$46</f>
        <v>-20</v>
      </c>
    </row>
    <row r="39" spans="2:12" x14ac:dyDescent="0.25">
      <c r="B39" t="s">
        <v>125</v>
      </c>
      <c r="C39" s="23">
        <v>630.50199999999995</v>
      </c>
      <c r="D39" s="23">
        <v>61.14</v>
      </c>
      <c r="E39" s="15">
        <f t="shared" ref="E39:J39" si="12">E31-E37+E38</f>
        <v>481.66530890455988</v>
      </c>
      <c r="F39" s="15">
        <f t="shared" si="12"/>
        <v>210.55123004606276</v>
      </c>
      <c r="G39" s="15">
        <f t="shared" si="12"/>
        <v>321.76612958031478</v>
      </c>
      <c r="H39" s="15">
        <f t="shared" si="12"/>
        <v>144.82843842225157</v>
      </c>
      <c r="I39" s="15">
        <f t="shared" si="12"/>
        <v>544.35432593706355</v>
      </c>
      <c r="J39" s="15">
        <f t="shared" si="12"/>
        <v>532.87380093482489</v>
      </c>
      <c r="K39" s="15">
        <f>SUM(C39:F39)</f>
        <v>1383.8585389506225</v>
      </c>
      <c r="L39" s="15">
        <f>SUM(G39:J39)</f>
        <v>1543.8226948744548</v>
      </c>
    </row>
    <row r="40" spans="2:12" x14ac:dyDescent="0.25">
      <c r="B40" t="s">
        <v>126</v>
      </c>
      <c r="E40" s="15">
        <f>-E39*Supuestos!$F$47</f>
        <v>-72.249796335683982</v>
      </c>
      <c r="F40" s="15">
        <f>-F39*Supuestos!$F$47</f>
        <v>-31.582684506909413</v>
      </c>
      <c r="G40" s="15">
        <f>-G39*Supuestos!$F$47</f>
        <v>-48.264919437047219</v>
      </c>
      <c r="H40" s="15">
        <f>-H39*Supuestos!$F$47</f>
        <v>-21.724265763337733</v>
      </c>
      <c r="I40" s="15">
        <f>-I39*Supuestos!$F$47</f>
        <v>-81.653148890559535</v>
      </c>
      <c r="J40" s="15">
        <f>-J39*Supuestos!$F$47</f>
        <v>-79.931070140223724</v>
      </c>
    </row>
    <row r="41" spans="2:12" x14ac:dyDescent="0.25">
      <c r="B41" s="10" t="s">
        <v>127</v>
      </c>
      <c r="C41" s="23">
        <f>Hist_Trim!O16/1000</f>
        <v>575.98900000000003</v>
      </c>
      <c r="D41" s="23">
        <f>Hist_Trim!P16/1000</f>
        <v>125.21899999999999</v>
      </c>
      <c r="E41" s="15">
        <f t="shared" ref="E41:J41" si="13">E39+E40</f>
        <v>409.4155125688759</v>
      </c>
      <c r="F41" s="15">
        <f t="shared" si="13"/>
        <v>178.96854553915335</v>
      </c>
      <c r="G41" s="15">
        <f t="shared" si="13"/>
        <v>273.50121014326754</v>
      </c>
      <c r="H41" s="15">
        <f t="shared" si="13"/>
        <v>123.10417265891382</v>
      </c>
      <c r="I41" s="15">
        <f t="shared" si="13"/>
        <v>462.70117704650403</v>
      </c>
      <c r="J41" s="15">
        <f t="shared" si="13"/>
        <v>452.94273079460118</v>
      </c>
      <c r="K41" s="24">
        <f>SUM(C41:F41)</f>
        <v>1289.5920581080293</v>
      </c>
      <c r="L41" s="24">
        <f>SUM(G41:J41)</f>
        <v>1312.2492906432865</v>
      </c>
    </row>
    <row r="42" spans="2:12" x14ac:dyDescent="0.25">
      <c r="B42" t="s">
        <v>128</v>
      </c>
      <c r="C42" s="8">
        <f t="shared" ref="C42:J42" si="14">C41*1000000/574215983709*2000</f>
        <v>2.0061754334302839</v>
      </c>
      <c r="D42" s="8">
        <f t="shared" si="14"/>
        <v>0.43613902626388129</v>
      </c>
      <c r="E42" s="8">
        <f t="shared" si="14"/>
        <v>1.4259983148652953</v>
      </c>
      <c r="F42" s="8">
        <f t="shared" si="14"/>
        <v>0.62334922961618811</v>
      </c>
      <c r="G42" s="8">
        <f t="shared" si="14"/>
        <v>0.95260744354992377</v>
      </c>
      <c r="H42" s="8">
        <f t="shared" si="14"/>
        <v>0.42877306153602407</v>
      </c>
      <c r="I42" s="8">
        <f t="shared" si="14"/>
        <v>1.6115928158523389</v>
      </c>
      <c r="J42" s="8">
        <f t="shared" si="14"/>
        <v>1.5776040502005344</v>
      </c>
      <c r="K42" s="8">
        <f>SUM(C42:F42)</f>
        <v>4.491662004175649</v>
      </c>
      <c r="L42" s="8">
        <f>SUM(G42:J42)</f>
        <v>4.5705773711388211</v>
      </c>
    </row>
    <row r="44" spans="2:12" x14ac:dyDescent="0.25">
      <c r="B44" s="10" t="s">
        <v>129</v>
      </c>
    </row>
    <row r="45" spans="2:12" x14ac:dyDescent="0.25">
      <c r="B45" t="s">
        <v>130</v>
      </c>
      <c r="E45" s="6">
        <f>Supuestos!$F$63</f>
        <v>6374.35</v>
      </c>
      <c r="F45" s="6">
        <f>E53</f>
        <v>6215.1846910954409</v>
      </c>
      <c r="G45" s="6">
        <f>F53</f>
        <v>6655.3233167385461</v>
      </c>
      <c r="H45" s="6">
        <f>G53</f>
        <v>6621.0571871582315</v>
      </c>
      <c r="I45" s="6">
        <f>H53</f>
        <v>6797.416510479221</v>
      </c>
      <c r="J45" s="6">
        <f>I53</f>
        <v>6530.5621845421574</v>
      </c>
    </row>
    <row r="46" spans="2:12" x14ac:dyDescent="0.25">
      <c r="B46" t="s">
        <v>131</v>
      </c>
      <c r="E46" s="6">
        <f t="shared" ref="E46:J46" si="15">-E34</f>
        <v>-1126.6653089045599</v>
      </c>
      <c r="F46" s="6">
        <f t="shared" si="15"/>
        <v>-875.55123004606276</v>
      </c>
      <c r="G46" s="6">
        <f t="shared" si="15"/>
        <v>-1001.7661295803148</v>
      </c>
      <c r="H46" s="6">
        <f t="shared" si="15"/>
        <v>-829.82843842225157</v>
      </c>
      <c r="I46" s="6">
        <f t="shared" si="15"/>
        <v>-1234.3543259370635</v>
      </c>
      <c r="J46" s="6">
        <f t="shared" si="15"/>
        <v>-1227.8738009348249</v>
      </c>
    </row>
    <row r="47" spans="2:12" x14ac:dyDescent="0.25">
      <c r="B47" t="s">
        <v>132</v>
      </c>
      <c r="E47" s="6">
        <f t="shared" ref="E47:J47" si="16">E37</f>
        <v>125</v>
      </c>
      <c r="F47" s="6">
        <f t="shared" si="16"/>
        <v>125</v>
      </c>
      <c r="G47" s="6">
        <f t="shared" si="16"/>
        <v>125</v>
      </c>
      <c r="H47" s="6">
        <f t="shared" si="16"/>
        <v>125</v>
      </c>
      <c r="I47" s="6">
        <f t="shared" si="16"/>
        <v>125</v>
      </c>
      <c r="J47" s="6">
        <f t="shared" si="16"/>
        <v>125</v>
      </c>
    </row>
    <row r="48" spans="2:12" x14ac:dyDescent="0.25">
      <c r="B48" t="s">
        <v>133</v>
      </c>
      <c r="E48" s="6">
        <f>Supuestos!$F$50</f>
        <v>30</v>
      </c>
      <c r="F48" s="6">
        <f>Supuestos!$F$50</f>
        <v>30</v>
      </c>
      <c r="G48" s="6">
        <f>Supuestos!$F$50</f>
        <v>30</v>
      </c>
      <c r="H48" s="6">
        <f>Supuestos!$F$50</f>
        <v>30</v>
      </c>
      <c r="I48" s="6">
        <f>Supuestos!$F$50</f>
        <v>30</v>
      </c>
      <c r="J48" s="6">
        <f>Supuestos!$F$50</f>
        <v>30</v>
      </c>
    </row>
    <row r="49" spans="2:12" x14ac:dyDescent="0.25">
      <c r="B49" t="s">
        <v>134</v>
      </c>
      <c r="E49" s="6">
        <f>Supuestos!$F$48</f>
        <v>400</v>
      </c>
      <c r="F49" s="6">
        <f>Supuestos!$F$48</f>
        <v>400</v>
      </c>
      <c r="G49" s="6">
        <f>Supuestos!$F$48</f>
        <v>400</v>
      </c>
      <c r="H49" s="6">
        <f>Supuestos!$F$48</f>
        <v>400</v>
      </c>
      <c r="I49" s="6">
        <f>Supuestos!$F$48</f>
        <v>400</v>
      </c>
      <c r="J49" s="6">
        <f>Supuestos!$F$48</f>
        <v>400</v>
      </c>
    </row>
    <row r="50" spans="2:12" x14ac:dyDescent="0.25">
      <c r="B50" t="s">
        <v>135</v>
      </c>
      <c r="E50" s="6">
        <f>Supuestos!$F$49</f>
        <v>350</v>
      </c>
      <c r="F50" s="6">
        <f>Supuestos!$F$49</f>
        <v>350</v>
      </c>
      <c r="G50" s="6">
        <f>Supuestos!$F$49</f>
        <v>350</v>
      </c>
      <c r="H50" s="6">
        <f>Supuestos!$F$49</f>
        <v>350</v>
      </c>
      <c r="I50" s="6">
        <f>Supuestos!$F$49</f>
        <v>350</v>
      </c>
      <c r="J50" s="6">
        <f>Supuestos!$F$49</f>
        <v>350</v>
      </c>
    </row>
    <row r="51" spans="2:12" x14ac:dyDescent="0.25">
      <c r="B51" t="s">
        <v>136</v>
      </c>
      <c r="E51" s="6">
        <v>0</v>
      </c>
      <c r="F51" s="6">
        <f>Supuestos!$F$51*$K$41*0.9</f>
        <v>348.18985568916793</v>
      </c>
      <c r="G51" s="6">
        <v>0</v>
      </c>
      <c r="H51" s="6">
        <f>Supuestos!$F$51*$K$41*0.1</f>
        <v>38.687761743240884</v>
      </c>
      <c r="I51" s="6">
        <v>0</v>
      </c>
      <c r="J51" s="6">
        <f>Supuestos!$F$51*$L$41*0.9</f>
        <v>354.30730847368739</v>
      </c>
    </row>
    <row r="52" spans="2:12" x14ac:dyDescent="0.25">
      <c r="B52" t="s">
        <v>137</v>
      </c>
      <c r="E52" s="6">
        <f>Supuestos!$F$52/4</f>
        <v>62.5</v>
      </c>
      <c r="F52" s="6">
        <f>Supuestos!$F$52/4</f>
        <v>62.5</v>
      </c>
      <c r="G52" s="6">
        <f>Supuestos!$F$52/4</f>
        <v>62.5</v>
      </c>
      <c r="H52" s="6">
        <f>Supuestos!$F$52/4</f>
        <v>62.5</v>
      </c>
      <c r="I52" s="6">
        <f>Supuestos!$F$52/4</f>
        <v>62.5</v>
      </c>
      <c r="J52" s="6">
        <f>Supuestos!$F$52/4</f>
        <v>62.5</v>
      </c>
    </row>
    <row r="53" spans="2:12" x14ac:dyDescent="0.25">
      <c r="B53" s="10" t="s">
        <v>138</v>
      </c>
      <c r="E53" s="6">
        <f t="shared" ref="E53:J53" si="17">SUM(E45:E52)</f>
        <v>6215.1846910954409</v>
      </c>
      <c r="F53" s="6">
        <f t="shared" si="17"/>
        <v>6655.3233167385461</v>
      </c>
      <c r="G53" s="6">
        <f t="shared" si="17"/>
        <v>6621.0571871582315</v>
      </c>
      <c r="H53" s="6">
        <f t="shared" si="17"/>
        <v>6797.416510479221</v>
      </c>
      <c r="I53" s="6">
        <f t="shared" si="17"/>
        <v>6530.5621845421574</v>
      </c>
      <c r="J53" s="6">
        <f t="shared" si="17"/>
        <v>6624.4956920810191</v>
      </c>
      <c r="K53" s="6">
        <f>F53</f>
        <v>6655.3233167385461</v>
      </c>
      <c r="L53" s="6">
        <f>J53</f>
        <v>6624.4956920810191</v>
      </c>
    </row>
    <row r="54" spans="2:12" x14ac:dyDescent="0.25">
      <c r="B54" t="s">
        <v>139</v>
      </c>
      <c r="K54" s="7">
        <f>K53/K34</f>
        <v>1.6514367406397026</v>
      </c>
      <c r="L54" s="7">
        <f>L53/L34</f>
        <v>1.5427967484518386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8"/>
  <sheetViews>
    <sheetView workbookViewId="0"/>
  </sheetViews>
  <sheetFormatPr defaultRowHeight="15" x14ac:dyDescent="0.25"/>
  <cols>
    <col min="1" max="1" width="2" customWidth="1"/>
    <col min="2" max="2" width="46" customWidth="1"/>
    <col min="3" max="4" width="12" customWidth="1"/>
    <col min="5" max="8" width="11" customWidth="1"/>
  </cols>
  <sheetData>
    <row r="1" spans="1:3" ht="17.25" x14ac:dyDescent="0.3">
      <c r="A1" s="9" t="s">
        <v>140</v>
      </c>
    </row>
    <row r="3" spans="1:3" x14ac:dyDescent="0.25">
      <c r="B3" s="2" t="s">
        <v>141</v>
      </c>
    </row>
    <row r="4" spans="1:3" x14ac:dyDescent="0.25">
      <c r="B4" t="s">
        <v>142</v>
      </c>
      <c r="C4" s="25">
        <v>25.05</v>
      </c>
    </row>
    <row r="5" spans="1:3" x14ac:dyDescent="0.25">
      <c r="B5" t="s">
        <v>81</v>
      </c>
      <c r="C5" s="3">
        <f>Supuestos!$F$62</f>
        <v>959.39</v>
      </c>
    </row>
    <row r="6" spans="1:3" x14ac:dyDescent="0.25">
      <c r="B6" t="s">
        <v>143</v>
      </c>
      <c r="C6" s="6">
        <v>574215.98370900005</v>
      </c>
    </row>
    <row r="7" spans="1:3" x14ac:dyDescent="0.25">
      <c r="B7" t="s">
        <v>144</v>
      </c>
      <c r="C7" s="6">
        <f>$C$4*$C$6/$C$5</f>
        <v>14992.975111175281</v>
      </c>
    </row>
    <row r="8" spans="1:3" x14ac:dyDescent="0.25">
      <c r="B8" t="s">
        <v>145</v>
      </c>
      <c r="C8" s="6">
        <f>Supuestos!$F$63</f>
        <v>6374.35</v>
      </c>
    </row>
    <row r="9" spans="1:3" x14ac:dyDescent="0.25">
      <c r="B9" t="s">
        <v>146</v>
      </c>
      <c r="C9" s="6">
        <f>$C$7+$C$8</f>
        <v>21367.325111175283</v>
      </c>
    </row>
    <row r="10" spans="1:3" x14ac:dyDescent="0.25">
      <c r="B10" t="s">
        <v>147</v>
      </c>
      <c r="C10" s="6">
        <v>4306.6616427710596</v>
      </c>
    </row>
    <row r="11" spans="1:3" x14ac:dyDescent="0.25">
      <c r="B11" t="s">
        <v>148</v>
      </c>
      <c r="C11" s="7">
        <f>$C$9/$C$10</f>
        <v>4.9614589869258419</v>
      </c>
    </row>
    <row r="12" spans="1:3" x14ac:dyDescent="0.25">
      <c r="B12" t="s">
        <v>149</v>
      </c>
      <c r="C12" s="7">
        <f>$C$9/Proyeccion!$K$34</f>
        <v>5.3020392937244312</v>
      </c>
    </row>
    <row r="13" spans="1:3" x14ac:dyDescent="0.25">
      <c r="B13" t="s">
        <v>150</v>
      </c>
      <c r="C13" s="7">
        <f>$C$9/Proyeccion!$L$34</f>
        <v>4.9762942323355617</v>
      </c>
    </row>
    <row r="14" spans="1:3" x14ac:dyDescent="0.25">
      <c r="B14" t="s">
        <v>151</v>
      </c>
      <c r="C14" s="7">
        <f>$C$7/Proyeccion!$K$41</f>
        <v>11.626137906875446</v>
      </c>
    </row>
    <row r="15" spans="1:3" x14ac:dyDescent="0.25">
      <c r="B15" t="s">
        <v>152</v>
      </c>
      <c r="C15" s="7">
        <f>$C$7/Proyeccion!$L$41</f>
        <v>11.425401574288887</v>
      </c>
    </row>
    <row r="17" spans="2:11" x14ac:dyDescent="0.25">
      <c r="B17" s="2" t="s">
        <v>153</v>
      </c>
    </row>
    <row r="18" spans="2:11" x14ac:dyDescent="0.25">
      <c r="B18" t="s">
        <v>154</v>
      </c>
      <c r="C18" s="7">
        <f>Supuestos!$F$60</f>
        <v>5.25</v>
      </c>
    </row>
    <row r="19" spans="2:11" x14ac:dyDescent="0.25">
      <c r="B19" t="s">
        <v>155</v>
      </c>
      <c r="C19" s="6">
        <f>$C$18*Proyeccion!$L$34</f>
        <v>22542.569148090883</v>
      </c>
    </row>
    <row r="20" spans="2:11" x14ac:dyDescent="0.25">
      <c r="B20" t="s">
        <v>156</v>
      </c>
      <c r="C20" s="6">
        <f>Proyeccion!$F$53</f>
        <v>6655.3233167385461</v>
      </c>
    </row>
    <row r="21" spans="2:11" x14ac:dyDescent="0.25">
      <c r="B21" t="s">
        <v>157</v>
      </c>
      <c r="C21" s="6">
        <f>$C$19-$C$20</f>
        <v>15887.245831352337</v>
      </c>
    </row>
    <row r="22" spans="2:11" x14ac:dyDescent="0.25">
      <c r="B22" s="10" t="s">
        <v>158</v>
      </c>
      <c r="C22" s="26">
        <f>$C$21/$C$6*$C$5</f>
        <v>26.544131843368294</v>
      </c>
    </row>
    <row r="24" spans="2:11" x14ac:dyDescent="0.25">
      <c r="B24" s="2" t="s">
        <v>159</v>
      </c>
    </row>
    <row r="25" spans="2:11" x14ac:dyDescent="0.25">
      <c r="B25" t="s">
        <v>160</v>
      </c>
      <c r="C25" s="7">
        <f>Supuestos!$F$61</f>
        <v>8</v>
      </c>
    </row>
    <row r="26" spans="2:11" x14ac:dyDescent="0.25">
      <c r="B26" t="s">
        <v>157</v>
      </c>
      <c r="C26" s="6">
        <f>$C$25*Proyeccion!$L$41</f>
        <v>10497.994325146292</v>
      </c>
    </row>
    <row r="27" spans="2:11" x14ac:dyDescent="0.25">
      <c r="B27" s="10" t="s">
        <v>158</v>
      </c>
      <c r="C27" s="26">
        <f>$C$26/$C$6*$C$5</f>
        <v>17.539864896387492</v>
      </c>
    </row>
    <row r="29" spans="2:11" x14ac:dyDescent="0.25">
      <c r="B29" s="2" t="s">
        <v>161</v>
      </c>
    </row>
    <row r="30" spans="2:11" x14ac:dyDescent="0.25">
      <c r="B30" t="s">
        <v>162</v>
      </c>
      <c r="C30" s="2" t="s">
        <v>163</v>
      </c>
      <c r="D30" s="2" t="s">
        <v>164</v>
      </c>
      <c r="E30" s="2" t="s">
        <v>165</v>
      </c>
      <c r="F30" s="2" t="s">
        <v>166</v>
      </c>
      <c r="G30" s="2" t="s">
        <v>167</v>
      </c>
      <c r="H30" s="2" t="s">
        <v>168</v>
      </c>
      <c r="J30" s="5" t="s">
        <v>169</v>
      </c>
    </row>
    <row r="31" spans="2:11" x14ac:dyDescent="0.25">
      <c r="B31" t="s">
        <v>170</v>
      </c>
      <c r="C31" s="27">
        <v>0.125</v>
      </c>
      <c r="D31" s="27">
        <v>0.75</v>
      </c>
      <c r="E31" s="27">
        <v>1.75</v>
      </c>
      <c r="F31" s="27">
        <v>2.75</v>
      </c>
      <c r="G31" s="27">
        <v>3.75</v>
      </c>
      <c r="H31" s="27">
        <v>4.75</v>
      </c>
    </row>
    <row r="32" spans="2:11" x14ac:dyDescent="0.25">
      <c r="B32" t="s">
        <v>115</v>
      </c>
      <c r="C32" s="6">
        <f>Proyeccion!$F$26</f>
        <v>5000.1007848917516</v>
      </c>
      <c r="D32" s="6">
        <f>Proyeccion!$L$26</f>
        <v>19456.467261215941</v>
      </c>
      <c r="E32" s="6">
        <f>J32*(1+Supuestos!$F$54)*1.01</f>
        <v>19779.86769275906</v>
      </c>
      <c r="F32" s="6">
        <f>E32*(1+Supuestos!$F$54)*1.01</f>
        <v>20976.549688170984</v>
      </c>
      <c r="G32" s="6">
        <f>F32*(1+Supuestos!$F$54)*1.01</f>
        <v>22245.630944305329</v>
      </c>
      <c r="H32" s="6">
        <f>G32*(1+Supuestos!$F$54)*1.01</f>
        <v>23591.491616435804</v>
      </c>
      <c r="J32" s="6">
        <f>Proyeccion!$L$26+Proyeccion!$G$24*((Proyeccion!$L$15*(Supuestos!$F$53*(1+Supuestos!$F$43)+Supuestos!$F$42)/42)-Proyeccion!$L$20)</f>
        <v>18651.454684355551</v>
      </c>
      <c r="K32" s="10" t="s">
        <v>171</v>
      </c>
    </row>
    <row r="33" spans="2:11" x14ac:dyDescent="0.25">
      <c r="B33" t="s">
        <v>121</v>
      </c>
      <c r="C33" s="6">
        <f>Proyeccion!$F$34</f>
        <v>875.55123004606276</v>
      </c>
      <c r="D33" s="6">
        <f>Proyeccion!$L$34</f>
        <v>4293.8226948744541</v>
      </c>
      <c r="E33" s="6">
        <f>E32*$J$33/$J$32</f>
        <v>5252.0937442638133</v>
      </c>
      <c r="F33" s="6">
        <f>F32*$J$33/$J$32</f>
        <v>5569.845415791774</v>
      </c>
      <c r="G33" s="6">
        <f>G32*$J$33/$J$32</f>
        <v>5906.8210634471761</v>
      </c>
      <c r="H33" s="6">
        <f>H32*$J$33/$J$32</f>
        <v>6264.1837377857319</v>
      </c>
      <c r="J33" s="6">
        <f>Proyeccion!$L$34-(1-Proyeccion!$G$24)*((Proyeccion!$L$15*(Supuestos!$F$53*(1+Supuestos!$F$43)+Supuestos!$F$42)/42)-Proyeccion!$L$20)</f>
        <v>4952.4693486693195</v>
      </c>
      <c r="K33" s="4">
        <f>J33/J32</f>
        <v>0.26552724344998929</v>
      </c>
    </row>
    <row r="34" spans="2:11" x14ac:dyDescent="0.25">
      <c r="B34" t="s">
        <v>120</v>
      </c>
      <c r="C34" s="6">
        <f>Proyeccion!$F$33</f>
        <v>520</v>
      </c>
      <c r="D34" s="6">
        <f>Proyeccion!$L$33</f>
        <v>2170</v>
      </c>
      <c r="E34" s="6">
        <f>E32*$J$34/$J$32</f>
        <v>2301.2849999999999</v>
      </c>
      <c r="F34" s="6">
        <f>F32*$J$34/$J$32</f>
        <v>2440.5127425000001</v>
      </c>
      <c r="G34" s="6">
        <f>G32*$J$34/$J$32</f>
        <v>2588.1637634212498</v>
      </c>
      <c r="H34" s="6">
        <f>H32*$J$34/$J$32</f>
        <v>2744.7476711082359</v>
      </c>
      <c r="J34" s="6">
        <f>Proyeccion!$L$33</f>
        <v>2170</v>
      </c>
    </row>
    <row r="35" spans="2:11" x14ac:dyDescent="0.25">
      <c r="B35" t="s">
        <v>172</v>
      </c>
      <c r="C35" s="6">
        <f t="shared" ref="C35:H35" si="0">C33-C34</f>
        <v>355.55123004606276</v>
      </c>
      <c r="D35" s="6">
        <f t="shared" si="0"/>
        <v>2123.8226948744541</v>
      </c>
      <c r="E35" s="6">
        <f t="shared" si="0"/>
        <v>2950.8087442638134</v>
      </c>
      <c r="F35" s="6">
        <f t="shared" si="0"/>
        <v>3129.332673291774</v>
      </c>
      <c r="G35" s="6">
        <f t="shared" si="0"/>
        <v>3318.6573000259264</v>
      </c>
      <c r="H35" s="6">
        <f t="shared" si="0"/>
        <v>3519.436066677496</v>
      </c>
    </row>
    <row r="36" spans="2:11" x14ac:dyDescent="0.25">
      <c r="B36" t="s">
        <v>173</v>
      </c>
      <c r="C36" s="6">
        <f>MAX(C35,0)*Supuestos!$F$47</f>
        <v>53.332684506909409</v>
      </c>
      <c r="D36" s="6">
        <f>MAX(D35,0)*Supuestos!$F$47</f>
        <v>318.57340423116813</v>
      </c>
      <c r="E36" s="6">
        <f>MAX(E35,0)*Supuestos!$F$56</f>
        <v>737.70218606595336</v>
      </c>
      <c r="F36" s="6">
        <f>MAX(F35,0)*Supuestos!$F$56</f>
        <v>782.33316832294349</v>
      </c>
      <c r="G36" s="6">
        <f>MAX(G35,0)*Supuestos!$F$56</f>
        <v>829.66432500648159</v>
      </c>
      <c r="H36" s="6">
        <f>MAX(H35,0)*Supuestos!$F$56</f>
        <v>879.859016669374</v>
      </c>
    </row>
    <row r="37" spans="2:11" x14ac:dyDescent="0.25">
      <c r="B37" t="s">
        <v>174</v>
      </c>
      <c r="C37" s="6">
        <f>(Supuestos!$F$48+Supuestos!$F$49)</f>
        <v>750</v>
      </c>
      <c r="D37" s="6">
        <f>4*(Supuestos!$F$48+Supuestos!$F$49)</f>
        <v>3000</v>
      </c>
      <c r="E37" s="6">
        <f>E32*Supuestos!$F$55</f>
        <v>2670.2821385224734</v>
      </c>
      <c r="F37" s="6">
        <f>F32*Supuestos!$F$55</f>
        <v>2831.8342079030831</v>
      </c>
      <c r="G37" s="6">
        <f>G32*Supuestos!$F$55</f>
        <v>3003.1601774812198</v>
      </c>
      <c r="H37" s="6">
        <f>H32*Supuestos!$F$55</f>
        <v>3184.8513682188336</v>
      </c>
    </row>
    <row r="38" spans="2:11" x14ac:dyDescent="0.25">
      <c r="B38" t="s">
        <v>175</v>
      </c>
      <c r="C38" s="6">
        <f t="shared" ref="C38:H38" si="1">C33-C36-C37</f>
        <v>72.218545539153297</v>
      </c>
      <c r="D38" s="6">
        <f t="shared" si="1"/>
        <v>975.2492906432858</v>
      </c>
      <c r="E38" s="6">
        <f t="shared" si="1"/>
        <v>1844.1094196753866</v>
      </c>
      <c r="F38" s="6">
        <f t="shared" si="1"/>
        <v>1955.6780395657474</v>
      </c>
      <c r="G38" s="6">
        <f t="shared" si="1"/>
        <v>2073.9965609594747</v>
      </c>
      <c r="H38" s="6">
        <f t="shared" si="1"/>
        <v>2199.4733528975244</v>
      </c>
    </row>
    <row r="39" spans="2:11" x14ac:dyDescent="0.25">
      <c r="B39" t="s">
        <v>176</v>
      </c>
      <c r="C39" s="27">
        <f>1/(1+Supuestos!$F$57)^C31</f>
        <v>0.98782055963287996</v>
      </c>
      <c r="D39" s="27">
        <f>1/(1+Supuestos!$F$57)^D31</f>
        <v>0.92911263410973377</v>
      </c>
      <c r="E39" s="27">
        <f>1/(1+Supuestos!$F$57)^E31</f>
        <v>0.84235052956458178</v>
      </c>
      <c r="F39" s="27">
        <f>1/(1+Supuestos!$F$57)^F31</f>
        <v>0.76369041664966619</v>
      </c>
      <c r="G39" s="27">
        <f>1/(1+Supuestos!$F$57)^G31</f>
        <v>0.69237571772408546</v>
      </c>
      <c r="H39" s="27">
        <f>1/(1+Supuestos!$F$57)^H31</f>
        <v>0.62772050564286985</v>
      </c>
    </row>
    <row r="40" spans="2:11" x14ac:dyDescent="0.25">
      <c r="B40" t="s">
        <v>177</v>
      </c>
      <c r="C40" s="6">
        <f t="shared" ref="C40:H40" si="2">C38*C39</f>
        <v>71.33896407035904</v>
      </c>
      <c r="D40" s="6">
        <f t="shared" si="2"/>
        <v>906.11643734323263</v>
      </c>
      <c r="E40" s="6">
        <f t="shared" si="2"/>
        <v>1553.3865462385954</v>
      </c>
      <c r="F40" s="6">
        <f t="shared" si="2"/>
        <v>1493.532576868568</v>
      </c>
      <c r="G40" s="6">
        <f t="shared" si="2"/>
        <v>1435.9848574516013</v>
      </c>
      <c r="H40" s="6">
        <f t="shared" si="2"/>
        <v>1380.6545252288522</v>
      </c>
    </row>
    <row r="42" spans="2:11" x14ac:dyDescent="0.25">
      <c r="B42" t="s">
        <v>178</v>
      </c>
      <c r="C42" s="6">
        <f>SUM(C40:H40)</f>
        <v>6841.0139072012089</v>
      </c>
    </row>
    <row r="43" spans="2:11" x14ac:dyDescent="0.25">
      <c r="B43" t="s">
        <v>179</v>
      </c>
      <c r="C43" s="6">
        <f>H38*(1+Supuestos!$F$59)/(Supuestos!$F$57-Supuestos!$F$59)</f>
        <v>31033.665116225347</v>
      </c>
    </row>
    <row r="44" spans="2:11" x14ac:dyDescent="0.25">
      <c r="B44" t="s">
        <v>180</v>
      </c>
      <c r="C44" s="6">
        <f>$C$43*H39</f>
        <v>19480.467958708465</v>
      </c>
    </row>
    <row r="45" spans="2:11" x14ac:dyDescent="0.25">
      <c r="B45" t="s">
        <v>181</v>
      </c>
      <c r="C45" s="6">
        <f>$C$42+$C$44</f>
        <v>26321.481865909675</v>
      </c>
    </row>
    <row r="46" spans="2:11" x14ac:dyDescent="0.25">
      <c r="B46" t="s">
        <v>182</v>
      </c>
      <c r="C46" s="4">
        <f>$C$44/$C$45</f>
        <v>0.74009769122986335</v>
      </c>
    </row>
    <row r="47" spans="2:11" x14ac:dyDescent="0.25">
      <c r="B47" t="s">
        <v>183</v>
      </c>
      <c r="C47" s="6">
        <f>Proyeccion!$E$53</f>
        <v>6215.1846910954409</v>
      </c>
    </row>
    <row r="48" spans="2:11" x14ac:dyDescent="0.25">
      <c r="B48" t="s">
        <v>184</v>
      </c>
      <c r="C48" s="6">
        <f>$C$45-$C$47</f>
        <v>20106.297174814234</v>
      </c>
    </row>
    <row r="49" spans="2:4" x14ac:dyDescent="0.25">
      <c r="B49" t="s">
        <v>185</v>
      </c>
      <c r="C49" s="6">
        <f>Proyeccion!$F$51+Proyeccion!$H$51</f>
        <v>386.87761743240878</v>
      </c>
    </row>
    <row r="50" spans="2:4" x14ac:dyDescent="0.25">
      <c r="B50" t="s">
        <v>186</v>
      </c>
      <c r="C50" s="6">
        <f>$C$48*(1+Supuestos!$F$58)-$C$49</f>
        <v>22192.494109883977</v>
      </c>
    </row>
    <row r="51" spans="2:4" x14ac:dyDescent="0.25">
      <c r="B51" s="10" t="s">
        <v>158</v>
      </c>
      <c r="C51" s="26">
        <f>$C$50/$C$6*$C$5</f>
        <v>37.078830140805564</v>
      </c>
    </row>
    <row r="53" spans="2:4" x14ac:dyDescent="0.25">
      <c r="B53" s="2" t="s">
        <v>187</v>
      </c>
      <c r="C53" s="2" t="s">
        <v>188</v>
      </c>
      <c r="D53" s="2" t="s">
        <v>3</v>
      </c>
    </row>
    <row r="54" spans="2:4" x14ac:dyDescent="0.25">
      <c r="B54" t="s">
        <v>189</v>
      </c>
      <c r="C54" s="13">
        <v>0.6</v>
      </c>
      <c r="D54" s="3">
        <f>$C$22</f>
        <v>26.544131843368294</v>
      </c>
    </row>
    <row r="55" spans="2:4" x14ac:dyDescent="0.25">
      <c r="B55" t="s">
        <v>190</v>
      </c>
      <c r="C55" s="13">
        <v>0.4</v>
      </c>
      <c r="D55" s="3">
        <f>$C$51</f>
        <v>37.078830140805564</v>
      </c>
    </row>
    <row r="56" spans="2:4" x14ac:dyDescent="0.25">
      <c r="B56" t="s">
        <v>152</v>
      </c>
      <c r="C56" s="13">
        <v>0</v>
      </c>
      <c r="D56" s="3">
        <f>$C$27</f>
        <v>17.539864896387492</v>
      </c>
    </row>
    <row r="57" spans="2:4" x14ac:dyDescent="0.25">
      <c r="B57" s="10" t="s">
        <v>18</v>
      </c>
      <c r="D57" s="28">
        <f>SUMPRODUCT(C54:C56,D54:D56)</f>
        <v>30.758011162343202</v>
      </c>
    </row>
    <row r="58" spans="2:4" x14ac:dyDescent="0.25">
      <c r="B58" t="s">
        <v>191</v>
      </c>
      <c r="D58" s="4">
        <f>$D$57/$C$4-1</f>
        <v>0.22786471705960887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8"/>
  <sheetViews>
    <sheetView workbookViewId="0"/>
  </sheetViews>
  <sheetFormatPr defaultRowHeight="15" x14ac:dyDescent="0.25"/>
  <cols>
    <col min="1" max="1" width="2" customWidth="1"/>
    <col min="2" max="2" width="44" customWidth="1"/>
    <col min="3" max="5" width="12" customWidth="1"/>
  </cols>
  <sheetData>
    <row r="1" spans="1:5" ht="17.25" x14ac:dyDescent="0.3">
      <c r="A1" s="9" t="s">
        <v>192</v>
      </c>
    </row>
    <row r="3" spans="1:5" x14ac:dyDescent="0.25">
      <c r="B3" s="2" t="s">
        <v>193</v>
      </c>
      <c r="C3" s="2" t="s">
        <v>51</v>
      </c>
      <c r="D3" s="2" t="s">
        <v>52</v>
      </c>
      <c r="E3" s="2" t="s">
        <v>53</v>
      </c>
    </row>
    <row r="4" spans="1:5" x14ac:dyDescent="0.25">
      <c r="B4" t="s">
        <v>194</v>
      </c>
      <c r="C4" s="4">
        <v>0.25</v>
      </c>
      <c r="D4" s="4">
        <v>0.5</v>
      </c>
      <c r="E4" s="4">
        <v>0.25</v>
      </c>
    </row>
    <row r="5" spans="1:5" x14ac:dyDescent="0.25">
      <c r="B5" t="s">
        <v>195</v>
      </c>
      <c r="C5" s="15">
        <v>185</v>
      </c>
      <c r="D5" s="15">
        <v>180.4</v>
      </c>
      <c r="E5" s="15">
        <v>167.8</v>
      </c>
    </row>
    <row r="6" spans="1:5" x14ac:dyDescent="0.25">
      <c r="B6" t="s">
        <v>196</v>
      </c>
      <c r="C6" s="15">
        <v>185</v>
      </c>
      <c r="D6" s="15">
        <v>148.69999999999999</v>
      </c>
      <c r="E6" s="15">
        <v>112.75</v>
      </c>
    </row>
    <row r="7" spans="1:5" x14ac:dyDescent="0.25">
      <c r="B7" t="s">
        <v>197</v>
      </c>
      <c r="C7" s="15">
        <v>135</v>
      </c>
      <c r="D7" s="15">
        <v>115</v>
      </c>
      <c r="E7" s="15">
        <v>105</v>
      </c>
    </row>
    <row r="8" spans="1:5" x14ac:dyDescent="0.25">
      <c r="B8" t="s">
        <v>198</v>
      </c>
      <c r="C8" s="4">
        <v>0.5</v>
      </c>
      <c r="D8" s="4">
        <v>0.55000000000000004</v>
      </c>
      <c r="E8" s="4">
        <v>0.65</v>
      </c>
    </row>
    <row r="9" spans="1:5" x14ac:dyDescent="0.25">
      <c r="B9" t="s">
        <v>199</v>
      </c>
      <c r="C9" s="4">
        <v>5.5E-2</v>
      </c>
      <c r="D9" s="4">
        <v>7.4999999999999997E-2</v>
      </c>
      <c r="E9" s="4">
        <v>0.08</v>
      </c>
    </row>
    <row r="10" spans="1:5" x14ac:dyDescent="0.25">
      <c r="B10" t="s">
        <v>200</v>
      </c>
      <c r="C10" s="4">
        <v>0.04</v>
      </c>
      <c r="D10" s="4">
        <v>6.5000000000000002E-2</v>
      </c>
      <c r="E10" s="4">
        <v>7.0000000000000007E-2</v>
      </c>
    </row>
    <row r="11" spans="1:5" x14ac:dyDescent="0.25">
      <c r="B11" t="s">
        <v>201</v>
      </c>
      <c r="C11" s="6">
        <v>1126.6653089045601</v>
      </c>
      <c r="D11" s="6">
        <v>1126.6653089045601</v>
      </c>
      <c r="E11" s="6">
        <v>1126.6653089045601</v>
      </c>
    </row>
    <row r="12" spans="1:5" x14ac:dyDescent="0.25">
      <c r="B12" t="s">
        <v>202</v>
      </c>
      <c r="C12" s="6">
        <v>757.70044567207742</v>
      </c>
      <c r="D12" s="6">
        <v>875.55123004606321</v>
      </c>
      <c r="E12" s="6">
        <v>1044.8730719465109</v>
      </c>
    </row>
    <row r="13" spans="1:5" x14ac:dyDescent="0.25">
      <c r="B13" t="s">
        <v>203</v>
      </c>
      <c r="C13" s="6">
        <v>3912.169350796637</v>
      </c>
      <c r="D13" s="6">
        <v>4030.0201351706241</v>
      </c>
      <c r="E13" s="6">
        <v>4199.3419770710716</v>
      </c>
    </row>
    <row r="14" spans="1:5" x14ac:dyDescent="0.25">
      <c r="B14" t="s">
        <v>204</v>
      </c>
      <c r="C14" s="6">
        <v>1913.8543507966381</v>
      </c>
      <c r="D14" s="6">
        <v>2031.7051351706241</v>
      </c>
      <c r="E14" s="6">
        <v>2201.026977071072</v>
      </c>
    </row>
    <row r="15" spans="1:5" x14ac:dyDescent="0.25">
      <c r="B15" t="s">
        <v>205</v>
      </c>
      <c r="C15" s="6">
        <v>1189.4188913901421</v>
      </c>
      <c r="D15" s="6">
        <v>1289.59205810803</v>
      </c>
      <c r="E15" s="6">
        <v>1433.515623723411</v>
      </c>
    </row>
    <row r="16" spans="1:5" x14ac:dyDescent="0.25">
      <c r="B16" t="s">
        <v>206</v>
      </c>
      <c r="C16" s="6">
        <v>3002.771915384239</v>
      </c>
      <c r="D16" s="6">
        <v>4293.822694874455</v>
      </c>
      <c r="E16" s="6">
        <v>5202.9349245218018</v>
      </c>
    </row>
    <row r="17" spans="2:5" x14ac:dyDescent="0.25">
      <c r="B17" t="s">
        <v>207</v>
      </c>
      <c r="C17" s="4">
        <v>0.15589850832136301</v>
      </c>
      <c r="D17" s="4">
        <v>0.22068871173924051</v>
      </c>
      <c r="E17" s="4">
        <v>0.27516333868599901</v>
      </c>
    </row>
    <row r="18" spans="2:5" x14ac:dyDescent="0.25">
      <c r="B18" t="s">
        <v>208</v>
      </c>
      <c r="C18" s="6">
        <v>214.8561280766034</v>
      </c>
      <c r="D18" s="6">
        <v>1312.2492906432869</v>
      </c>
      <c r="E18" s="6">
        <v>2084.994685843531</v>
      </c>
    </row>
    <row r="19" spans="2:5" x14ac:dyDescent="0.25">
      <c r="B19" t="s">
        <v>209</v>
      </c>
      <c r="C19" s="4">
        <v>0.22374262576039461</v>
      </c>
      <c r="D19" s="4">
        <v>0.2655272434499894</v>
      </c>
      <c r="E19" s="4">
        <v>0.28462347093402418</v>
      </c>
    </row>
    <row r="20" spans="2:5" x14ac:dyDescent="0.25">
      <c r="B20" t="s">
        <v>210</v>
      </c>
      <c r="C20" s="6">
        <v>7482.0491520368487</v>
      </c>
      <c r="D20" s="6">
        <v>6624.4956920810182</v>
      </c>
      <c r="E20" s="6">
        <v>6022.8799469219039</v>
      </c>
    </row>
    <row r="21" spans="2:5" x14ac:dyDescent="0.25">
      <c r="B21" t="s">
        <v>211</v>
      </c>
      <c r="C21" s="7">
        <v>2.491714110453652</v>
      </c>
      <c r="D21" s="7">
        <v>1.5427967484518379</v>
      </c>
      <c r="E21" s="7">
        <v>1.157592788357902</v>
      </c>
    </row>
    <row r="22" spans="2:5" x14ac:dyDescent="0.25">
      <c r="B22" t="s">
        <v>212</v>
      </c>
      <c r="C22" s="7">
        <v>4.75</v>
      </c>
      <c r="D22" s="7">
        <v>5.25</v>
      </c>
      <c r="E22" s="7">
        <v>5.75</v>
      </c>
    </row>
    <row r="23" spans="2:5" x14ac:dyDescent="0.25">
      <c r="B23" t="s">
        <v>213</v>
      </c>
      <c r="C23" s="3">
        <v>12.68464609937592</v>
      </c>
      <c r="D23" s="3">
        <v>26.544131843368309</v>
      </c>
      <c r="E23" s="3">
        <v>38.957659895981053</v>
      </c>
    </row>
    <row r="24" spans="2:5" x14ac:dyDescent="0.25">
      <c r="B24" t="s">
        <v>214</v>
      </c>
      <c r="C24" s="3">
        <v>18.70542515873813</v>
      </c>
      <c r="D24" s="3">
        <v>37.078830140805593</v>
      </c>
      <c r="E24" s="3">
        <v>45.940508339228217</v>
      </c>
    </row>
    <row r="25" spans="2:5" x14ac:dyDescent="0.25">
      <c r="B25" t="s">
        <v>215</v>
      </c>
      <c r="C25" s="3">
        <v>2.3333560413901471</v>
      </c>
      <c r="D25" s="3">
        <v>17.539864896387499</v>
      </c>
      <c r="E25" s="3">
        <v>33.093939440597119</v>
      </c>
    </row>
    <row r="26" spans="2:5" x14ac:dyDescent="0.25">
      <c r="B26" s="10" t="s">
        <v>216</v>
      </c>
      <c r="C26" s="26">
        <v>15.092957723120801</v>
      </c>
      <c r="D26" s="26">
        <v>30.75801116234322</v>
      </c>
      <c r="E26" s="26">
        <v>41.750799273279917</v>
      </c>
    </row>
    <row r="28" spans="2:5" x14ac:dyDescent="0.25">
      <c r="B28" s="10" t="s">
        <v>217</v>
      </c>
      <c r="C28" s="28">
        <v>29.58994483027179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20"/>
  <sheetViews>
    <sheetView workbookViewId="0"/>
  </sheetViews>
  <sheetFormatPr defaultRowHeight="15" x14ac:dyDescent="0.25"/>
  <cols>
    <col min="1" max="1" width="2" customWidth="1"/>
    <col min="2" max="2" width="44" customWidth="1"/>
    <col min="3" max="11" width="12" customWidth="1"/>
  </cols>
  <sheetData>
    <row r="1" spans="1:10" ht="17.25" x14ac:dyDescent="0.3">
      <c r="A1" s="9" t="s">
        <v>218</v>
      </c>
    </row>
    <row r="2" spans="1:10" x14ac:dyDescent="0.25">
      <c r="A2" t="s">
        <v>219</v>
      </c>
    </row>
    <row r="4" spans="1:10" x14ac:dyDescent="0.25">
      <c r="B4" s="10" t="s">
        <v>220</v>
      </c>
    </row>
    <row r="5" spans="1:10" x14ac:dyDescent="0.25">
      <c r="B5" s="2" t="s">
        <v>221</v>
      </c>
      <c r="C5" s="2" t="s">
        <v>222</v>
      </c>
      <c r="D5" s="2" t="s">
        <v>223</v>
      </c>
      <c r="E5" s="2" t="s">
        <v>224</v>
      </c>
      <c r="F5" s="2" t="s">
        <v>225</v>
      </c>
      <c r="G5" s="2" t="s">
        <v>226</v>
      </c>
      <c r="H5" s="2" t="s">
        <v>227</v>
      </c>
      <c r="I5" s="2" t="s">
        <v>228</v>
      </c>
      <c r="J5" s="2" t="s">
        <v>229</v>
      </c>
    </row>
    <row r="6" spans="1:10" x14ac:dyDescent="0.25">
      <c r="B6" s="15">
        <v>100</v>
      </c>
      <c r="C6" s="6">
        <v>4030.0201351706241</v>
      </c>
      <c r="D6" s="6">
        <v>5248.7770371670622</v>
      </c>
      <c r="E6" s="4">
        <v>0.28698620479068943</v>
      </c>
      <c r="F6" s="6">
        <v>2123.960481592002</v>
      </c>
      <c r="G6" s="7">
        <v>1.121919130808211</v>
      </c>
      <c r="H6" s="3">
        <v>34.920616964533288</v>
      </c>
      <c r="I6" s="3">
        <v>38.49387290734628</v>
      </c>
      <c r="J6" s="3">
        <v>36.349919341658477</v>
      </c>
    </row>
    <row r="7" spans="1:10" x14ac:dyDescent="0.25">
      <c r="B7" s="15">
        <v>115</v>
      </c>
      <c r="C7" s="6">
        <v>4030.0201351706241</v>
      </c>
      <c r="D7" s="6">
        <v>4952.4693486693186</v>
      </c>
      <c r="E7" s="4">
        <v>0.26552724344998929</v>
      </c>
      <c r="F7" s="6">
        <v>1872.0989463689209</v>
      </c>
      <c r="G7" s="7">
        <v>1.2351431204668959</v>
      </c>
      <c r="H7" s="3">
        <v>32.32152208212306</v>
      </c>
      <c r="I7" s="3">
        <v>38.054806836111368</v>
      </c>
      <c r="J7" s="3">
        <v>34.614835983718393</v>
      </c>
    </row>
    <row r="8" spans="1:10" x14ac:dyDescent="0.25">
      <c r="B8" s="15">
        <v>130</v>
      </c>
      <c r="C8" s="6">
        <v>4030.0201351706241</v>
      </c>
      <c r="D8" s="6">
        <v>4656.1616601715778</v>
      </c>
      <c r="E8" s="4">
        <v>0.2448857434842312</v>
      </c>
      <c r="F8" s="6">
        <v>1620.237411145841</v>
      </c>
      <c r="G8" s="7">
        <v>1.3627777518115129</v>
      </c>
      <c r="H8" s="3">
        <v>29.722427199712861</v>
      </c>
      <c r="I8" s="3">
        <v>37.61574076487647</v>
      </c>
      <c r="J8" s="3">
        <v>32.879752625778309</v>
      </c>
    </row>
    <row r="9" spans="1:10" x14ac:dyDescent="0.25">
      <c r="B9" s="15">
        <v>145</v>
      </c>
      <c r="C9" s="6">
        <v>4030.0201351706241</v>
      </c>
      <c r="D9" s="6">
        <v>4359.8539716738342</v>
      </c>
      <c r="E9" s="4">
        <v>0.2250158671960488</v>
      </c>
      <c r="F9" s="6">
        <v>1368.375875922759</v>
      </c>
      <c r="G9" s="7">
        <v>1.5077611855846991</v>
      </c>
      <c r="H9" s="3">
        <v>27.123332317302641</v>
      </c>
      <c r="I9" s="3">
        <v>37.176674693641552</v>
      </c>
      <c r="J9" s="3">
        <v>31.1446692678382</v>
      </c>
    </row>
    <row r="10" spans="1:10" x14ac:dyDescent="0.25">
      <c r="B10" s="15">
        <v>160</v>
      </c>
      <c r="C10" s="6">
        <v>4030.0201351706241</v>
      </c>
      <c r="D10" s="6">
        <v>4063.5462831760929</v>
      </c>
      <c r="E10" s="4">
        <v>0.20587514103209431</v>
      </c>
      <c r="F10" s="6">
        <v>1116.514340699679</v>
      </c>
      <c r="G10" s="7">
        <v>1.6738885675932751</v>
      </c>
      <c r="H10" s="3">
        <v>24.524237434892441</v>
      </c>
      <c r="I10" s="3">
        <v>36.737608622406682</v>
      </c>
      <c r="J10" s="3">
        <v>29.409585909898141</v>
      </c>
    </row>
    <row r="11" spans="1:10" x14ac:dyDescent="0.25">
      <c r="B11" s="15">
        <v>175</v>
      </c>
      <c r="C11" s="6">
        <v>4030.0201351706241</v>
      </c>
      <c r="D11" s="6">
        <v>3767.238594678347</v>
      </c>
      <c r="E11" s="4">
        <v>0.18742415251501959</v>
      </c>
      <c r="F11" s="6">
        <v>864.65280547659449</v>
      </c>
      <c r="G11" s="7">
        <v>1.8661490544328989</v>
      </c>
      <c r="H11" s="3">
        <v>21.925142552482189</v>
      </c>
      <c r="I11" s="3">
        <v>36.298542551171728</v>
      </c>
      <c r="J11" s="3">
        <v>27.67450255195801</v>
      </c>
    </row>
    <row r="12" spans="1:10" x14ac:dyDescent="0.25">
      <c r="B12" s="15">
        <v>190</v>
      </c>
      <c r="C12" s="6">
        <v>4030.0201351706241</v>
      </c>
      <c r="D12" s="6">
        <v>3470.9309061806061</v>
      </c>
      <c r="E12" s="4">
        <v>0.16962627935883651</v>
      </c>
      <c r="F12" s="6">
        <v>612.79127025351522</v>
      </c>
      <c r="G12" s="7">
        <v>2.0912354672184699</v>
      </c>
      <c r="H12" s="3">
        <v>19.326047670072001</v>
      </c>
      <c r="I12" s="3">
        <v>35.859476479936852</v>
      </c>
      <c r="J12" s="3">
        <v>25.93941919401794</v>
      </c>
    </row>
    <row r="13" spans="1:10" x14ac:dyDescent="0.25">
      <c r="B13" s="15">
        <v>205</v>
      </c>
      <c r="C13" s="6">
        <v>4030.0201351706241</v>
      </c>
      <c r="D13" s="6">
        <v>3174.623217682863</v>
      </c>
      <c r="E13" s="4">
        <v>0.1524474468497764</v>
      </c>
      <c r="F13" s="6">
        <v>360.92973503043362</v>
      </c>
      <c r="G13" s="7">
        <v>2.3583393605751222</v>
      </c>
      <c r="H13" s="3">
        <v>16.72695278766178</v>
      </c>
      <c r="I13" s="3">
        <v>35.420410408701898</v>
      </c>
      <c r="J13" s="3">
        <v>24.204335836077821</v>
      </c>
    </row>
    <row r="15" spans="1:10" x14ac:dyDescent="0.25">
      <c r="B15" s="10" t="s">
        <v>230</v>
      </c>
    </row>
    <row r="16" spans="1:10" x14ac:dyDescent="0.25">
      <c r="B16" s="2" t="s">
        <v>221</v>
      </c>
      <c r="C16" s="2" t="s">
        <v>222</v>
      </c>
      <c r="D16" s="2" t="s">
        <v>223</v>
      </c>
      <c r="E16" s="2" t="s">
        <v>224</v>
      </c>
      <c r="F16" s="2" t="s">
        <v>225</v>
      </c>
      <c r="G16" s="2" t="s">
        <v>226</v>
      </c>
      <c r="H16" s="2" t="s">
        <v>227</v>
      </c>
      <c r="I16" s="2" t="s">
        <v>228</v>
      </c>
      <c r="J16" s="2" t="s">
        <v>229</v>
      </c>
    </row>
    <row r="17" spans="2:10" x14ac:dyDescent="0.25">
      <c r="B17" s="15">
        <v>100</v>
      </c>
      <c r="C17" s="6">
        <v>4030.0201351706241</v>
      </c>
      <c r="D17" s="6">
        <v>5248.7770371670622</v>
      </c>
      <c r="E17" s="4">
        <v>0.28698620479068943</v>
      </c>
      <c r="F17" s="6">
        <v>2123.960481592002</v>
      </c>
      <c r="G17" s="7">
        <v>1.121919130808211</v>
      </c>
      <c r="H17" s="3">
        <v>34.920616964533288</v>
      </c>
      <c r="I17" s="3">
        <v>45.908055562823463</v>
      </c>
      <c r="J17" s="3">
        <v>39.315592403849358</v>
      </c>
    </row>
    <row r="18" spans="2:10" x14ac:dyDescent="0.25">
      <c r="B18" s="15">
        <v>115</v>
      </c>
      <c r="C18" s="6">
        <v>4030.0201351706241</v>
      </c>
      <c r="D18" s="6">
        <v>4952.4693486693186</v>
      </c>
      <c r="E18" s="4">
        <v>0.26552724344998929</v>
      </c>
      <c r="F18" s="6">
        <v>1872.0989463689209</v>
      </c>
      <c r="G18" s="7">
        <v>1.2351431204668959</v>
      </c>
      <c r="H18" s="3">
        <v>32.32152208212306</v>
      </c>
      <c r="I18" s="3">
        <v>38.054806836111368</v>
      </c>
      <c r="J18" s="3">
        <v>34.614835983718393</v>
      </c>
    </row>
    <row r="19" spans="2:10" x14ac:dyDescent="0.25">
      <c r="B19" s="15">
        <v>130</v>
      </c>
      <c r="C19" s="6">
        <v>4030.0201351706241</v>
      </c>
      <c r="D19" s="6">
        <v>4656.1616601715778</v>
      </c>
      <c r="E19" s="4">
        <v>0.2448857434842312</v>
      </c>
      <c r="F19" s="6">
        <v>1620.237411145841</v>
      </c>
      <c r="G19" s="7">
        <v>1.3627777518115129</v>
      </c>
      <c r="H19" s="3">
        <v>29.722427199712861</v>
      </c>
      <c r="I19" s="3">
        <v>30.20155810939935</v>
      </c>
      <c r="J19" s="3">
        <v>29.91407956358746</v>
      </c>
    </row>
    <row r="20" spans="2:10" x14ac:dyDescent="0.25">
      <c r="B20" s="15">
        <v>145</v>
      </c>
      <c r="C20" s="6">
        <v>4030.0201351706241</v>
      </c>
      <c r="D20" s="6">
        <v>4359.8539716738342</v>
      </c>
      <c r="E20" s="4">
        <v>0.2250158671960488</v>
      </c>
      <c r="F20" s="6">
        <v>1368.375875922759</v>
      </c>
      <c r="G20" s="7">
        <v>1.5077611855846991</v>
      </c>
      <c r="H20" s="3">
        <v>27.123332317302641</v>
      </c>
      <c r="I20" s="3">
        <v>22.348309382687241</v>
      </c>
      <c r="J20" s="3">
        <v>25.213323143456481</v>
      </c>
    </row>
    <row r="21" spans="2:10" x14ac:dyDescent="0.25">
      <c r="B21" s="15">
        <v>160</v>
      </c>
      <c r="C21" s="6">
        <v>4030.0201351706241</v>
      </c>
      <c r="D21" s="6">
        <v>4063.5462831760929</v>
      </c>
      <c r="E21" s="4">
        <v>0.20587514103209431</v>
      </c>
      <c r="F21" s="6">
        <v>1116.514340699679</v>
      </c>
      <c r="G21" s="7">
        <v>1.6738885675932751</v>
      </c>
      <c r="H21" s="3">
        <v>24.524237434892441</v>
      </c>
      <c r="I21" s="3">
        <v>14.49506065597518</v>
      </c>
      <c r="J21" s="3">
        <v>20.512566723325541</v>
      </c>
    </row>
    <row r="22" spans="2:10" x14ac:dyDescent="0.25">
      <c r="B22" s="15">
        <v>175</v>
      </c>
      <c r="C22" s="6">
        <v>4030.0201351706241</v>
      </c>
      <c r="D22" s="6">
        <v>3767.238594678347</v>
      </c>
      <c r="E22" s="4">
        <v>0.18742415251501959</v>
      </c>
      <c r="F22" s="6">
        <v>864.65280547659449</v>
      </c>
      <c r="G22" s="7">
        <v>1.8661490544328989</v>
      </c>
      <c r="H22" s="3">
        <v>21.925142552482189</v>
      </c>
      <c r="I22" s="3">
        <v>6.6418119292630342</v>
      </c>
      <c r="J22" s="3">
        <v>15.81181030319453</v>
      </c>
    </row>
    <row r="23" spans="2:10" x14ac:dyDescent="0.25">
      <c r="B23" s="15">
        <v>190</v>
      </c>
      <c r="C23" s="6">
        <v>4030.0201351706241</v>
      </c>
      <c r="D23" s="6">
        <v>3470.9309061806061</v>
      </c>
      <c r="E23" s="4">
        <v>0.16962627935883651</v>
      </c>
      <c r="F23" s="6">
        <v>612.79127025351522</v>
      </c>
      <c r="G23" s="7">
        <v>2.0912354672184699</v>
      </c>
      <c r="H23" s="3">
        <v>19.326047670072001</v>
      </c>
      <c r="I23" s="3">
        <v>-1.2114367974489879</v>
      </c>
      <c r="J23" s="3">
        <v>11.111053883063599</v>
      </c>
    </row>
    <row r="24" spans="2:10" x14ac:dyDescent="0.25">
      <c r="B24" s="29" t="s">
        <v>231</v>
      </c>
    </row>
    <row r="26" spans="2:10" x14ac:dyDescent="0.25">
      <c r="B26" s="10" t="s">
        <v>232</v>
      </c>
    </row>
    <row r="27" spans="2:10" x14ac:dyDescent="0.25">
      <c r="B27" s="2" t="s">
        <v>221</v>
      </c>
      <c r="C27" s="2" t="s">
        <v>222</v>
      </c>
      <c r="D27" s="2" t="s">
        <v>223</v>
      </c>
      <c r="E27" s="2" t="s">
        <v>224</v>
      </c>
      <c r="F27" s="2" t="s">
        <v>225</v>
      </c>
      <c r="G27" s="2" t="s">
        <v>226</v>
      </c>
      <c r="H27" s="2" t="s">
        <v>227</v>
      </c>
      <c r="I27" s="2" t="s">
        <v>228</v>
      </c>
      <c r="J27" s="2" t="s">
        <v>229</v>
      </c>
    </row>
    <row r="28" spans="2:10" x14ac:dyDescent="0.25">
      <c r="B28" s="15">
        <v>90</v>
      </c>
      <c r="C28" s="6">
        <v>4030.0201351706241</v>
      </c>
      <c r="D28" s="6">
        <v>4293.822694874455</v>
      </c>
      <c r="E28" s="4">
        <v>0.22068871173924051</v>
      </c>
      <c r="F28" s="6">
        <v>1312.2492906432869</v>
      </c>
      <c r="G28" s="7">
        <v>1.5427967484518379</v>
      </c>
      <c r="H28" s="3">
        <v>26.544131843368309</v>
      </c>
      <c r="I28" s="3">
        <v>49.435801233267547</v>
      </c>
      <c r="J28" s="3">
        <v>35.700799599328008</v>
      </c>
    </row>
    <row r="29" spans="2:10" x14ac:dyDescent="0.25">
      <c r="B29" s="15">
        <v>100</v>
      </c>
      <c r="C29" s="6">
        <v>4030.0201351706241</v>
      </c>
      <c r="D29" s="6">
        <v>4293.822694874455</v>
      </c>
      <c r="E29" s="4">
        <v>0.22068871173924051</v>
      </c>
      <c r="F29" s="6">
        <v>1312.2492906432869</v>
      </c>
      <c r="G29" s="7">
        <v>1.5427967484518379</v>
      </c>
      <c r="H29" s="3">
        <v>26.544131843368309</v>
      </c>
      <c r="I29" s="3">
        <v>44.49301279628277</v>
      </c>
      <c r="J29" s="3">
        <v>33.723684224534097</v>
      </c>
    </row>
    <row r="30" spans="2:10" x14ac:dyDescent="0.25">
      <c r="B30" s="15">
        <v>115</v>
      </c>
      <c r="C30" s="6">
        <v>4030.0201351706241</v>
      </c>
      <c r="D30" s="6">
        <v>4293.822694874455</v>
      </c>
      <c r="E30" s="4">
        <v>0.22068871173924051</v>
      </c>
      <c r="F30" s="6">
        <v>1312.2492906432869</v>
      </c>
      <c r="G30" s="7">
        <v>1.5427967484518379</v>
      </c>
      <c r="H30" s="3">
        <v>26.544131843368309</v>
      </c>
      <c r="I30" s="3">
        <v>37.078830140805593</v>
      </c>
      <c r="J30" s="3">
        <v>30.75801116234322</v>
      </c>
    </row>
    <row r="31" spans="2:10" x14ac:dyDescent="0.25">
      <c r="B31" s="15">
        <v>130</v>
      </c>
      <c r="C31" s="6">
        <v>4030.0201351706241</v>
      </c>
      <c r="D31" s="6">
        <v>4293.822694874455</v>
      </c>
      <c r="E31" s="4">
        <v>0.22068871173924051</v>
      </c>
      <c r="F31" s="6">
        <v>1312.2492906432869</v>
      </c>
      <c r="G31" s="7">
        <v>1.5427967484518379</v>
      </c>
      <c r="H31" s="3">
        <v>26.544131843368309</v>
      </c>
      <c r="I31" s="3">
        <v>29.664647485328441</v>
      </c>
      <c r="J31" s="3">
        <v>27.79233810015236</v>
      </c>
    </row>
    <row r="32" spans="2:10" x14ac:dyDescent="0.25">
      <c r="B32" s="15">
        <v>150</v>
      </c>
      <c r="C32" s="6">
        <v>4030.0201351706241</v>
      </c>
      <c r="D32" s="6">
        <v>4293.822694874455</v>
      </c>
      <c r="E32" s="4">
        <v>0.22068871173924051</v>
      </c>
      <c r="F32" s="6">
        <v>1312.2492906432869</v>
      </c>
      <c r="G32" s="7">
        <v>1.5427967484518379</v>
      </c>
      <c r="H32" s="3">
        <v>26.544131843368309</v>
      </c>
      <c r="I32" s="3">
        <v>19.779070611358879</v>
      </c>
      <c r="J32" s="3">
        <v>23.838107350564542</v>
      </c>
    </row>
    <row r="33" spans="2:10" x14ac:dyDescent="0.25">
      <c r="B33" s="15">
        <v>170</v>
      </c>
      <c r="C33" s="6">
        <v>4030.0201351706241</v>
      </c>
      <c r="D33" s="6">
        <v>4293.822694874455</v>
      </c>
      <c r="E33" s="4">
        <v>0.22068871173924051</v>
      </c>
      <c r="F33" s="6">
        <v>1312.2492906432869</v>
      </c>
      <c r="G33" s="7">
        <v>1.5427967484518379</v>
      </c>
      <c r="H33" s="3">
        <v>26.544131843368309</v>
      </c>
      <c r="I33" s="3">
        <v>9.8934937373892922</v>
      </c>
      <c r="J33" s="3">
        <v>19.883876600976699</v>
      </c>
    </row>
    <row r="35" spans="2:10" x14ac:dyDescent="0.25">
      <c r="B35" s="10" t="s">
        <v>233</v>
      </c>
    </row>
    <row r="36" spans="2:10" x14ac:dyDescent="0.25">
      <c r="B36" s="2" t="s">
        <v>221</v>
      </c>
      <c r="C36" s="2" t="s">
        <v>222</v>
      </c>
      <c r="D36" s="2" t="s">
        <v>223</v>
      </c>
      <c r="E36" s="2" t="s">
        <v>224</v>
      </c>
      <c r="F36" s="2" t="s">
        <v>225</v>
      </c>
      <c r="G36" s="2" t="s">
        <v>226</v>
      </c>
      <c r="H36" s="2" t="s">
        <v>227</v>
      </c>
      <c r="I36" s="2" t="s">
        <v>228</v>
      </c>
      <c r="J36" s="2" t="s">
        <v>229</v>
      </c>
    </row>
    <row r="37" spans="2:10" x14ac:dyDescent="0.25">
      <c r="B37" s="15">
        <v>130</v>
      </c>
      <c r="C37" s="6">
        <v>4275.4818811071564</v>
      </c>
      <c r="D37" s="6">
        <v>4293.822694874455</v>
      </c>
      <c r="E37" s="4">
        <v>0.22068871173924051</v>
      </c>
      <c r="F37" s="6">
        <v>1312.2492906432869</v>
      </c>
      <c r="G37" s="7">
        <v>1.5002078914547829</v>
      </c>
      <c r="H37" s="3">
        <v>26.860124050367531</v>
      </c>
      <c r="I37" s="3">
        <v>37.360956888903289</v>
      </c>
      <c r="J37" s="3">
        <v>31.060457185781839</v>
      </c>
    </row>
    <row r="38" spans="2:10" x14ac:dyDescent="0.25">
      <c r="B38" s="15">
        <v>140</v>
      </c>
      <c r="C38" s="6">
        <v>4226.7791537387966</v>
      </c>
      <c r="D38" s="6">
        <v>4293.822694874455</v>
      </c>
      <c r="E38" s="4">
        <v>0.22068871173924051</v>
      </c>
      <c r="F38" s="6">
        <v>1312.2492906432869</v>
      </c>
      <c r="G38" s="7">
        <v>1.5086580614938809</v>
      </c>
      <c r="H38" s="3">
        <v>26.79742718389943</v>
      </c>
      <c r="I38" s="3">
        <v>37.304979359518818</v>
      </c>
      <c r="J38" s="3">
        <v>31.000448054147189</v>
      </c>
    </row>
    <row r="39" spans="2:10" x14ac:dyDescent="0.25">
      <c r="B39" s="15">
        <v>150</v>
      </c>
      <c r="C39" s="6">
        <v>4178.0764263704377</v>
      </c>
      <c r="D39" s="6">
        <v>4293.822694874455</v>
      </c>
      <c r="E39" s="4">
        <v>0.22068871173924051</v>
      </c>
      <c r="F39" s="6">
        <v>1312.2492906432869</v>
      </c>
      <c r="G39" s="7">
        <v>1.5171082315329789</v>
      </c>
      <c r="H39" s="3">
        <v>26.734730317431339</v>
      </c>
      <c r="I39" s="3">
        <v>37.249001830134361</v>
      </c>
      <c r="J39" s="3">
        <v>30.940438922512541</v>
      </c>
    </row>
    <row r="40" spans="2:10" x14ac:dyDescent="0.25">
      <c r="B40" s="15">
        <v>160</v>
      </c>
      <c r="C40" s="6">
        <v>4129.373699002077</v>
      </c>
      <c r="D40" s="6">
        <v>4293.822694874455</v>
      </c>
      <c r="E40" s="4">
        <v>0.22068871173924051</v>
      </c>
      <c r="F40" s="6">
        <v>1312.2492906432869</v>
      </c>
      <c r="G40" s="7">
        <v>1.525558401572078</v>
      </c>
      <c r="H40" s="3">
        <v>26.67203345096323</v>
      </c>
      <c r="I40" s="3">
        <v>37.193024300749897</v>
      </c>
      <c r="J40" s="3">
        <v>30.880429790877901</v>
      </c>
    </row>
    <row r="41" spans="2:10" x14ac:dyDescent="0.25">
      <c r="B41" s="15">
        <v>170</v>
      </c>
      <c r="C41" s="6">
        <v>4080.6709716337159</v>
      </c>
      <c r="D41" s="6">
        <v>4293.822694874455</v>
      </c>
      <c r="E41" s="4">
        <v>0.22068871173924051</v>
      </c>
      <c r="F41" s="6">
        <v>1312.2492906432869</v>
      </c>
      <c r="G41" s="7">
        <v>1.534008571611176</v>
      </c>
      <c r="H41" s="3">
        <v>26.609336584495129</v>
      </c>
      <c r="I41" s="3">
        <v>37.137046771365441</v>
      </c>
      <c r="J41" s="3">
        <v>30.820420659243251</v>
      </c>
    </row>
    <row r="42" spans="2:10" x14ac:dyDescent="0.25">
      <c r="B42" s="15">
        <v>180</v>
      </c>
      <c r="C42" s="6">
        <v>4031.968244265357</v>
      </c>
      <c r="D42" s="6">
        <v>4293.822694874455</v>
      </c>
      <c r="E42" s="4">
        <v>0.22068871173924051</v>
      </c>
      <c r="F42" s="6">
        <v>1312.2492906432869</v>
      </c>
      <c r="G42" s="7">
        <v>1.542458741650274</v>
      </c>
      <c r="H42" s="3">
        <v>26.546639718027031</v>
      </c>
      <c r="I42" s="3">
        <v>37.081069241980977</v>
      </c>
      <c r="J42" s="3">
        <v>30.760411527608611</v>
      </c>
    </row>
    <row r="43" spans="2:10" x14ac:dyDescent="0.25">
      <c r="B43" s="15">
        <v>190</v>
      </c>
      <c r="C43" s="6">
        <v>3983.2655168969982</v>
      </c>
      <c r="D43" s="6">
        <v>4293.822694874455</v>
      </c>
      <c r="E43" s="4">
        <v>0.22068871173924051</v>
      </c>
      <c r="F43" s="6">
        <v>1312.2492906432869</v>
      </c>
      <c r="G43" s="7">
        <v>1.5509089116893719</v>
      </c>
      <c r="H43" s="3">
        <v>26.48394285155894</v>
      </c>
      <c r="I43" s="3">
        <v>37.025091712596513</v>
      </c>
      <c r="J43" s="3">
        <v>30.70040239597397</v>
      </c>
    </row>
    <row r="44" spans="2:10" x14ac:dyDescent="0.25">
      <c r="B44" s="15">
        <v>200</v>
      </c>
      <c r="C44" s="6">
        <v>3934.562789528637</v>
      </c>
      <c r="D44" s="6">
        <v>4293.822694874455</v>
      </c>
      <c r="E44" s="4">
        <v>0.22068871173924051</v>
      </c>
      <c r="F44" s="6">
        <v>1312.2492906432869</v>
      </c>
      <c r="G44" s="7">
        <v>1.559359081728471</v>
      </c>
      <c r="H44" s="3">
        <v>26.421245985090831</v>
      </c>
      <c r="I44" s="3">
        <v>36.969114183212049</v>
      </c>
      <c r="J44" s="3">
        <v>30.64039326433932</v>
      </c>
    </row>
    <row r="45" spans="2:10" x14ac:dyDescent="0.25">
      <c r="B45" s="29" t="s">
        <v>234</v>
      </c>
    </row>
    <row r="47" spans="2:10" x14ac:dyDescent="0.25">
      <c r="B47" s="10" t="s">
        <v>235</v>
      </c>
    </row>
    <row r="48" spans="2:10" x14ac:dyDescent="0.25">
      <c r="B48" s="2" t="s">
        <v>221</v>
      </c>
      <c r="C48" s="2" t="s">
        <v>222</v>
      </c>
      <c r="D48" s="2" t="s">
        <v>223</v>
      </c>
      <c r="E48" s="2" t="s">
        <v>224</v>
      </c>
      <c r="F48" s="2" t="s">
        <v>225</v>
      </c>
      <c r="G48" s="2" t="s">
        <v>226</v>
      </c>
      <c r="H48" s="2" t="s">
        <v>227</v>
      </c>
      <c r="I48" s="2" t="s">
        <v>228</v>
      </c>
      <c r="J48" s="2" t="s">
        <v>229</v>
      </c>
    </row>
    <row r="49" spans="2:10" x14ac:dyDescent="0.25">
      <c r="B49" s="4">
        <v>0.35</v>
      </c>
      <c r="C49" s="6">
        <v>3832.2037636463501</v>
      </c>
      <c r="D49" s="6">
        <v>3786.738625031649</v>
      </c>
      <c r="E49" s="4">
        <v>0.1998344002434651</v>
      </c>
      <c r="F49" s="6">
        <v>881.22783127690218</v>
      </c>
      <c r="G49" s="7">
        <v>1.8914897155386889</v>
      </c>
      <c r="H49" s="3">
        <v>21.841532663112989</v>
      </c>
      <c r="I49" s="3">
        <v>32.495097029522178</v>
      </c>
      <c r="J49" s="3">
        <v>26.10295840967666</v>
      </c>
    </row>
    <row r="50" spans="2:10" x14ac:dyDescent="0.25">
      <c r="B50" s="4">
        <v>0.45</v>
      </c>
      <c r="C50" s="6">
        <v>3931.111949408486</v>
      </c>
      <c r="D50" s="6">
        <v>4040.2806599530518</v>
      </c>
      <c r="E50" s="4">
        <v>0.21039922888522741</v>
      </c>
      <c r="F50" s="6">
        <v>1096.7385609600949</v>
      </c>
      <c r="G50" s="7">
        <v>1.706202367748594</v>
      </c>
      <c r="H50" s="3">
        <v>24.192832253240649</v>
      </c>
      <c r="I50" s="3">
        <v>34.786963585163868</v>
      </c>
      <c r="J50" s="3">
        <v>28.430484786009931</v>
      </c>
    </row>
    <row r="51" spans="2:10" x14ac:dyDescent="0.25">
      <c r="B51" s="4">
        <v>0.5</v>
      </c>
      <c r="C51" s="6">
        <v>3980.5660422895539</v>
      </c>
      <c r="D51" s="6">
        <v>4167.0516774137532</v>
      </c>
      <c r="E51" s="4">
        <v>0.21557771135487891</v>
      </c>
      <c r="F51" s="6">
        <v>1204.49392580169</v>
      </c>
      <c r="G51" s="7">
        <v>1.622013976180352</v>
      </c>
      <c r="H51" s="3">
        <v>25.368482048304479</v>
      </c>
      <c r="I51" s="3">
        <v>35.932896862984748</v>
      </c>
      <c r="J51" s="3">
        <v>29.594247974176579</v>
      </c>
    </row>
    <row r="52" spans="2:10" x14ac:dyDescent="0.25">
      <c r="B52" s="4">
        <v>0.55000000000000004</v>
      </c>
      <c r="C52" s="6">
        <v>4030.0201351706241</v>
      </c>
      <c r="D52" s="6">
        <v>4293.822694874455</v>
      </c>
      <c r="E52" s="4">
        <v>0.22068871173924051</v>
      </c>
      <c r="F52" s="6">
        <v>1312.2492906432869</v>
      </c>
      <c r="G52" s="7">
        <v>1.5427967484518379</v>
      </c>
      <c r="H52" s="3">
        <v>26.544131843368309</v>
      </c>
      <c r="I52" s="3">
        <v>37.078830140805593</v>
      </c>
      <c r="J52" s="3">
        <v>30.75801116234322</v>
      </c>
    </row>
    <row r="53" spans="2:10" x14ac:dyDescent="0.25">
      <c r="B53" s="4">
        <v>0.6</v>
      </c>
      <c r="C53" s="6">
        <v>4079.4742280516912</v>
      </c>
      <c r="D53" s="6">
        <v>4420.5937123351541</v>
      </c>
      <c r="E53" s="4">
        <v>0.22573354056303099</v>
      </c>
      <c r="F53" s="6">
        <v>1420.0046554848809</v>
      </c>
      <c r="G53" s="7">
        <v>1.4681230047949509</v>
      </c>
      <c r="H53" s="3">
        <v>27.719781638432121</v>
      </c>
      <c r="I53" s="3">
        <v>38.224763418626409</v>
      </c>
      <c r="J53" s="3">
        <v>31.921774350509839</v>
      </c>
    </row>
    <row r="54" spans="2:10" x14ac:dyDescent="0.25">
      <c r="B54" s="4">
        <v>0.65</v>
      </c>
      <c r="C54" s="6">
        <v>4128.9283209327596</v>
      </c>
      <c r="D54" s="6">
        <v>4547.364729795856</v>
      </c>
      <c r="E54" s="4">
        <v>0.23071347463479</v>
      </c>
      <c r="F54" s="6">
        <v>1527.7600203264781</v>
      </c>
      <c r="G54" s="7">
        <v>1.397612756711204</v>
      </c>
      <c r="H54" s="3">
        <v>28.895431433495961</v>
      </c>
      <c r="I54" s="3">
        <v>39.37069669644729</v>
      </c>
      <c r="J54" s="3">
        <v>33.08553753867649</v>
      </c>
    </row>
    <row r="55" spans="2:10" x14ac:dyDescent="0.25">
      <c r="B55" s="4">
        <v>0.75</v>
      </c>
      <c r="C55" s="6">
        <v>4227.8365066948954</v>
      </c>
      <c r="D55" s="6">
        <v>4800.9067647172569</v>
      </c>
      <c r="E55" s="4">
        <v>0.24048360359853099</v>
      </c>
      <c r="F55" s="6">
        <v>1743.270750009669</v>
      </c>
      <c r="G55" s="7">
        <v>1.2677634700618909</v>
      </c>
      <c r="H55" s="3">
        <v>31.2467310236236</v>
      </c>
      <c r="I55" s="3">
        <v>41.662563252088958</v>
      </c>
      <c r="J55" s="3">
        <v>35.413063915009737</v>
      </c>
    </row>
    <row r="57" spans="2:10" x14ac:dyDescent="0.25">
      <c r="B57" s="10" t="s">
        <v>236</v>
      </c>
    </row>
    <row r="58" spans="2:10" x14ac:dyDescent="0.25">
      <c r="B58" s="2" t="s">
        <v>221</v>
      </c>
      <c r="C58" s="2" t="s">
        <v>222</v>
      </c>
      <c r="D58" s="2" t="s">
        <v>223</v>
      </c>
      <c r="E58" s="2" t="s">
        <v>224</v>
      </c>
      <c r="F58" s="2" t="s">
        <v>225</v>
      </c>
      <c r="G58" s="2" t="s">
        <v>226</v>
      </c>
      <c r="H58" s="2" t="s">
        <v>227</v>
      </c>
      <c r="I58" s="2" t="s">
        <v>228</v>
      </c>
      <c r="J58" s="2" t="s">
        <v>229</v>
      </c>
    </row>
    <row r="59" spans="2:10" x14ac:dyDescent="0.25">
      <c r="B59" s="4">
        <v>4.4999999999999998E-2</v>
      </c>
      <c r="C59" s="6">
        <v>4030.0201351706241</v>
      </c>
      <c r="D59" s="6">
        <v>3789.7672696889222</v>
      </c>
      <c r="E59" s="4">
        <v>0.19996226878545351</v>
      </c>
      <c r="F59" s="6">
        <v>883.80217923558405</v>
      </c>
      <c r="G59" s="7">
        <v>1.850475213419138</v>
      </c>
      <c r="H59" s="3">
        <v>22.122755257789759</v>
      </c>
      <c r="I59" s="3">
        <v>27.854720533276009</v>
      </c>
      <c r="J59" s="3">
        <v>24.415541367984261</v>
      </c>
    </row>
    <row r="60" spans="2:10" x14ac:dyDescent="0.25">
      <c r="B60" s="4">
        <v>5.5E-2</v>
      </c>
      <c r="C60" s="6">
        <v>4030.0201351706241</v>
      </c>
      <c r="D60" s="6">
        <v>3957.7857447507658</v>
      </c>
      <c r="E60" s="4">
        <v>0.20699250384834461</v>
      </c>
      <c r="F60" s="6">
        <v>1026.6178830381509</v>
      </c>
      <c r="G60" s="7">
        <v>1.7392078819023571</v>
      </c>
      <c r="H60" s="3">
        <v>23.596547452982598</v>
      </c>
      <c r="I60" s="3">
        <v>30.929423735785839</v>
      </c>
      <c r="J60" s="3">
        <v>26.5296979661039</v>
      </c>
    </row>
    <row r="61" spans="2:10" x14ac:dyDescent="0.25">
      <c r="B61" s="4">
        <v>6.5000000000000002E-2</v>
      </c>
      <c r="C61" s="6">
        <v>4030.0201351706241</v>
      </c>
      <c r="D61" s="6">
        <v>4125.8042198126104</v>
      </c>
      <c r="E61" s="4">
        <v>0.21390026049032271</v>
      </c>
      <c r="F61" s="6">
        <v>1169.433586840719</v>
      </c>
      <c r="G61" s="7">
        <v>1.637003010148389</v>
      </c>
      <c r="H61" s="3">
        <v>25.070339648175459</v>
      </c>
      <c r="I61" s="3">
        <v>34.004126938295713</v>
      </c>
      <c r="J61" s="3">
        <v>28.64385456422356</v>
      </c>
    </row>
    <row r="62" spans="2:10" x14ac:dyDescent="0.25">
      <c r="B62" s="4">
        <v>7.4999999999999997E-2</v>
      </c>
      <c r="C62" s="6">
        <v>4030.0201351706241</v>
      </c>
      <c r="D62" s="6">
        <v>4293.822694874455</v>
      </c>
      <c r="E62" s="4">
        <v>0.22068871173924051</v>
      </c>
      <c r="F62" s="6">
        <v>1312.2492906432869</v>
      </c>
      <c r="G62" s="7">
        <v>1.5427967484518379</v>
      </c>
      <c r="H62" s="3">
        <v>26.544131843368309</v>
      </c>
      <c r="I62" s="3">
        <v>37.078830140805593</v>
      </c>
      <c r="J62" s="3">
        <v>30.75801116234322</v>
      </c>
    </row>
    <row r="63" spans="2:10" x14ac:dyDescent="0.25">
      <c r="B63" s="4">
        <v>8.5000000000000006E-2</v>
      </c>
      <c r="C63" s="6">
        <v>4030.0201351706241</v>
      </c>
      <c r="D63" s="6">
        <v>4461.8411699362987</v>
      </c>
      <c r="E63" s="4">
        <v>0.2273609219572133</v>
      </c>
      <c r="F63" s="6">
        <v>1455.0649944458539</v>
      </c>
      <c r="G63" s="7">
        <v>1.455685491632728</v>
      </c>
      <c r="H63" s="3">
        <v>28.017924038561151</v>
      </c>
      <c r="I63" s="3">
        <v>40.153533343315452</v>
      </c>
      <c r="J63" s="3">
        <v>32.872167760462872</v>
      </c>
    </row>
    <row r="64" spans="2:10" x14ac:dyDescent="0.25">
      <c r="B64" s="4">
        <v>9.5000000000000001E-2</v>
      </c>
      <c r="C64" s="6">
        <v>4030.0201351706241</v>
      </c>
      <c r="D64" s="6">
        <v>4629.8596449981433</v>
      </c>
      <c r="E64" s="4">
        <v>0.2339198514529344</v>
      </c>
      <c r="F64" s="6">
        <v>1597.880698248422</v>
      </c>
      <c r="G64" s="7">
        <v>1.37489680251706</v>
      </c>
      <c r="H64" s="3">
        <v>29.491716233754008</v>
      </c>
      <c r="I64" s="3">
        <v>43.228236545825283</v>
      </c>
      <c r="J64" s="3">
        <v>34.986324358582522</v>
      </c>
    </row>
    <row r="65" spans="2:10" x14ac:dyDescent="0.25">
      <c r="B65" s="4">
        <v>0.105</v>
      </c>
      <c r="C65" s="6">
        <v>4030.0201351706241</v>
      </c>
      <c r="D65" s="6">
        <v>4797.8781200599888</v>
      </c>
      <c r="E65" s="4">
        <v>0.24036836086104321</v>
      </c>
      <c r="F65" s="6">
        <v>1740.6964020509911</v>
      </c>
      <c r="G65" s="7">
        <v>1.299766444858669</v>
      </c>
      <c r="H65" s="3">
        <v>30.96550842894688</v>
      </c>
      <c r="I65" s="3">
        <v>46.302939748335177</v>
      </c>
      <c r="J65" s="3">
        <v>37.100480956702199</v>
      </c>
    </row>
    <row r="67" spans="2:10" x14ac:dyDescent="0.25">
      <c r="B67" s="10" t="s">
        <v>237</v>
      </c>
    </row>
    <row r="68" spans="2:10" x14ac:dyDescent="0.25">
      <c r="B68" s="2" t="s">
        <v>221</v>
      </c>
      <c r="C68" s="2" t="s">
        <v>222</v>
      </c>
      <c r="D68" s="2" t="s">
        <v>223</v>
      </c>
      <c r="E68" s="2" t="s">
        <v>224</v>
      </c>
      <c r="F68" s="2" t="s">
        <v>225</v>
      </c>
      <c r="G68" s="2" t="s">
        <v>226</v>
      </c>
      <c r="H68" s="2" t="s">
        <v>227</v>
      </c>
      <c r="I68" s="2" t="s">
        <v>228</v>
      </c>
      <c r="J68" s="2" t="s">
        <v>229</v>
      </c>
    </row>
    <row r="69" spans="2:10" x14ac:dyDescent="0.25">
      <c r="B69" s="3">
        <v>850</v>
      </c>
      <c r="C69" s="6">
        <v>4030.0201351706241</v>
      </c>
      <c r="D69" s="6">
        <v>4293.822694874455</v>
      </c>
      <c r="E69" s="4">
        <v>0.22068871173924051</v>
      </c>
      <c r="F69" s="6">
        <v>1312.2492906432869</v>
      </c>
      <c r="G69" s="7">
        <v>1.5427967484518379</v>
      </c>
      <c r="H69" s="3">
        <v>23.517560186017221</v>
      </c>
      <c r="I69" s="3">
        <v>32.851088316205868</v>
      </c>
      <c r="J69" s="3">
        <v>27.25097143809268</v>
      </c>
    </row>
    <row r="70" spans="2:10" x14ac:dyDescent="0.25">
      <c r="B70" s="3">
        <v>900</v>
      </c>
      <c r="C70" s="6">
        <v>4030.0201351706241</v>
      </c>
      <c r="D70" s="6">
        <v>4293.822694874455</v>
      </c>
      <c r="E70" s="4">
        <v>0.22068871173924051</v>
      </c>
      <c r="F70" s="6">
        <v>1312.2492906432869</v>
      </c>
      <c r="G70" s="7">
        <v>1.5427967484518379</v>
      </c>
      <c r="H70" s="3">
        <v>24.900946079312359</v>
      </c>
      <c r="I70" s="3">
        <v>34.783505275982691</v>
      </c>
      <c r="J70" s="3">
        <v>28.85396975798049</v>
      </c>
    </row>
    <row r="71" spans="2:10" x14ac:dyDescent="0.25">
      <c r="B71" s="3">
        <v>925</v>
      </c>
      <c r="C71" s="6">
        <v>4030.0201351706241</v>
      </c>
      <c r="D71" s="6">
        <v>4293.822694874455</v>
      </c>
      <c r="E71" s="4">
        <v>0.22068871173924051</v>
      </c>
      <c r="F71" s="6">
        <v>1312.2492906432869</v>
      </c>
      <c r="G71" s="7">
        <v>1.5427967484518379</v>
      </c>
      <c r="H71" s="3">
        <v>25.592639025959919</v>
      </c>
      <c r="I71" s="3">
        <v>35.749713755871113</v>
      </c>
      <c r="J71" s="3">
        <v>29.655468917924399</v>
      </c>
    </row>
    <row r="72" spans="2:10" x14ac:dyDescent="0.25">
      <c r="B72" s="3">
        <v>959.39</v>
      </c>
      <c r="C72" s="6">
        <v>4030.0201351706241</v>
      </c>
      <c r="D72" s="6">
        <v>4293.822694874455</v>
      </c>
      <c r="E72" s="4">
        <v>0.22068871173924051</v>
      </c>
      <c r="F72" s="6">
        <v>1312.2492906432869</v>
      </c>
      <c r="G72" s="7">
        <v>1.5427967484518379</v>
      </c>
      <c r="H72" s="3">
        <v>26.544131843368309</v>
      </c>
      <c r="I72" s="3">
        <v>37.078830140805593</v>
      </c>
      <c r="J72" s="3">
        <v>30.75801116234322</v>
      </c>
    </row>
    <row r="73" spans="2:10" x14ac:dyDescent="0.25">
      <c r="B73" s="3">
        <v>1000</v>
      </c>
      <c r="C73" s="6">
        <v>4030.0201351706241</v>
      </c>
      <c r="D73" s="6">
        <v>4293.822694874455</v>
      </c>
      <c r="E73" s="4">
        <v>0.22068871173924051</v>
      </c>
      <c r="F73" s="6">
        <v>1312.2492906432869</v>
      </c>
      <c r="G73" s="7">
        <v>1.5427967484518379</v>
      </c>
      <c r="H73" s="3">
        <v>27.66771786590262</v>
      </c>
      <c r="I73" s="3">
        <v>38.64833919553633</v>
      </c>
      <c r="J73" s="3">
        <v>32.059966397756099</v>
      </c>
    </row>
    <row r="74" spans="2:10" x14ac:dyDescent="0.25">
      <c r="B74" s="3">
        <v>1050</v>
      </c>
      <c r="C74" s="6">
        <v>4030.0201351706241</v>
      </c>
      <c r="D74" s="6">
        <v>4293.822694874455</v>
      </c>
      <c r="E74" s="4">
        <v>0.22068871173924051</v>
      </c>
      <c r="F74" s="6">
        <v>1312.2492906432869</v>
      </c>
      <c r="G74" s="7">
        <v>1.5427967484518379</v>
      </c>
      <c r="H74" s="3">
        <v>29.051103759197751</v>
      </c>
      <c r="I74" s="3">
        <v>40.580756155313153</v>
      </c>
      <c r="J74" s="3">
        <v>33.662964717643902</v>
      </c>
    </row>
    <row r="76" spans="2:10" x14ac:dyDescent="0.25">
      <c r="B76" s="10" t="s">
        <v>238</v>
      </c>
    </row>
    <row r="77" spans="2:10" x14ac:dyDescent="0.25">
      <c r="B77" s="2" t="s">
        <v>221</v>
      </c>
      <c r="C77" s="2" t="s">
        <v>222</v>
      </c>
      <c r="D77" s="2" t="s">
        <v>223</v>
      </c>
      <c r="E77" s="2" t="s">
        <v>224</v>
      </c>
      <c r="F77" s="2" t="s">
        <v>225</v>
      </c>
      <c r="G77" s="2" t="s">
        <v>226</v>
      </c>
      <c r="H77" s="2" t="s">
        <v>227</v>
      </c>
      <c r="I77" s="2" t="s">
        <v>228</v>
      </c>
      <c r="J77" s="2" t="s">
        <v>229</v>
      </c>
    </row>
    <row r="78" spans="2:10" x14ac:dyDescent="0.25">
      <c r="B78" s="7">
        <v>4</v>
      </c>
      <c r="C78" s="6">
        <v>4030.0201351706241</v>
      </c>
      <c r="D78" s="6">
        <v>4293.822694874455</v>
      </c>
      <c r="E78" s="4">
        <v>0.22068871173924051</v>
      </c>
      <c r="F78" s="6">
        <v>1312.2492906432869</v>
      </c>
      <c r="G78" s="7">
        <v>1.5427967484518379</v>
      </c>
      <c r="H78" s="3">
        <v>17.576577229538429</v>
      </c>
      <c r="I78" s="3">
        <v>37.078830140805593</v>
      </c>
      <c r="J78" s="3">
        <v>25.377478394045301</v>
      </c>
    </row>
    <row r="79" spans="2:10" x14ac:dyDescent="0.25">
      <c r="B79" s="7">
        <v>4.5</v>
      </c>
      <c r="C79" s="6">
        <v>4030.0201351706241</v>
      </c>
      <c r="D79" s="6">
        <v>4293.822694874455</v>
      </c>
      <c r="E79" s="4">
        <v>0.22068871173924051</v>
      </c>
      <c r="F79" s="6">
        <v>1312.2492906432869</v>
      </c>
      <c r="G79" s="7">
        <v>1.5427967484518379</v>
      </c>
      <c r="H79" s="3">
        <v>21.16359907507039</v>
      </c>
      <c r="I79" s="3">
        <v>37.078830140805593</v>
      </c>
      <c r="J79" s="3">
        <v>27.529691501364471</v>
      </c>
    </row>
    <row r="80" spans="2:10" x14ac:dyDescent="0.25">
      <c r="B80" s="7">
        <v>5</v>
      </c>
      <c r="C80" s="6">
        <v>4030.0201351706241</v>
      </c>
      <c r="D80" s="6">
        <v>4293.822694874455</v>
      </c>
      <c r="E80" s="4">
        <v>0.22068871173924051</v>
      </c>
      <c r="F80" s="6">
        <v>1312.2492906432869</v>
      </c>
      <c r="G80" s="7">
        <v>1.5427967484518379</v>
      </c>
      <c r="H80" s="3">
        <v>24.750620920602341</v>
      </c>
      <c r="I80" s="3">
        <v>37.078830140805593</v>
      </c>
      <c r="J80" s="3">
        <v>29.681904608683642</v>
      </c>
    </row>
    <row r="81" spans="2:10" x14ac:dyDescent="0.25">
      <c r="B81" s="7">
        <v>5.25</v>
      </c>
      <c r="C81" s="6">
        <v>4030.0201351706241</v>
      </c>
      <c r="D81" s="6">
        <v>4293.822694874455</v>
      </c>
      <c r="E81" s="4">
        <v>0.22068871173924051</v>
      </c>
      <c r="F81" s="6">
        <v>1312.2492906432869</v>
      </c>
      <c r="G81" s="7">
        <v>1.5427967484518379</v>
      </c>
      <c r="H81" s="3">
        <v>26.544131843368309</v>
      </c>
      <c r="I81" s="3">
        <v>37.078830140805593</v>
      </c>
      <c r="J81" s="3">
        <v>30.75801116234322</v>
      </c>
    </row>
    <row r="82" spans="2:10" x14ac:dyDescent="0.25">
      <c r="B82" s="7">
        <v>5.5</v>
      </c>
      <c r="C82" s="6">
        <v>4030.0201351706241</v>
      </c>
      <c r="D82" s="6">
        <v>4293.822694874455</v>
      </c>
      <c r="E82" s="4">
        <v>0.22068871173924051</v>
      </c>
      <c r="F82" s="6">
        <v>1312.2492906432869</v>
      </c>
      <c r="G82" s="7">
        <v>1.5427967484518379</v>
      </c>
      <c r="H82" s="3">
        <v>28.33764276613428</v>
      </c>
      <c r="I82" s="3">
        <v>37.078830140805593</v>
      </c>
      <c r="J82" s="3">
        <v>31.834117716002812</v>
      </c>
    </row>
    <row r="83" spans="2:10" x14ac:dyDescent="0.25">
      <c r="B83" s="7">
        <v>6</v>
      </c>
      <c r="C83" s="6">
        <v>4030.0201351706241</v>
      </c>
      <c r="D83" s="6">
        <v>4293.822694874455</v>
      </c>
      <c r="E83" s="4">
        <v>0.22068871173924051</v>
      </c>
      <c r="F83" s="6">
        <v>1312.2492906432869</v>
      </c>
      <c r="G83" s="7">
        <v>1.5427967484518379</v>
      </c>
      <c r="H83" s="3">
        <v>31.92466461166623</v>
      </c>
      <c r="I83" s="3">
        <v>37.078830140805593</v>
      </c>
      <c r="J83" s="3">
        <v>33.986330823321978</v>
      </c>
    </row>
    <row r="84" spans="2:10" x14ac:dyDescent="0.25">
      <c r="B84" s="7">
        <v>6.5</v>
      </c>
      <c r="C84" s="6">
        <v>4030.0201351706241</v>
      </c>
      <c r="D84" s="6">
        <v>4293.822694874455</v>
      </c>
      <c r="E84" s="4">
        <v>0.22068871173924051</v>
      </c>
      <c r="F84" s="6">
        <v>1312.2492906432869</v>
      </c>
      <c r="G84" s="7">
        <v>1.5427967484518379</v>
      </c>
      <c r="H84" s="3">
        <v>35.511686457198188</v>
      </c>
      <c r="I84" s="3">
        <v>37.078830140805593</v>
      </c>
      <c r="J84" s="3">
        <v>36.138543930641148</v>
      </c>
    </row>
    <row r="86" spans="2:10" x14ac:dyDescent="0.25">
      <c r="B86" s="10" t="s">
        <v>239</v>
      </c>
    </row>
    <row r="87" spans="2:10" x14ac:dyDescent="0.25">
      <c r="C87" s="30">
        <v>0.45</v>
      </c>
      <c r="D87" s="30">
        <v>0.5</v>
      </c>
      <c r="E87" s="30">
        <v>0.55000000000000004</v>
      </c>
      <c r="F87" s="30">
        <v>0.6</v>
      </c>
      <c r="G87" s="30">
        <v>0.65</v>
      </c>
    </row>
    <row r="88" spans="2:10" x14ac:dyDescent="0.25">
      <c r="B88" s="31">
        <v>115</v>
      </c>
      <c r="C88" s="3">
        <v>33.144381789912927</v>
      </c>
      <c r="D88" s="3">
        <v>33.87960888681566</v>
      </c>
      <c r="E88" s="3">
        <v>34.614835983718393</v>
      </c>
      <c r="F88" s="3">
        <v>35.350063080621133</v>
      </c>
      <c r="G88" s="3">
        <v>36.085290177523838</v>
      </c>
    </row>
    <row r="89" spans="2:10" x14ac:dyDescent="0.25">
      <c r="B89" s="31">
        <v>130</v>
      </c>
      <c r="C89" s="3">
        <v>31.02372435243057</v>
      </c>
      <c r="D89" s="3">
        <v>31.951738489104439</v>
      </c>
      <c r="E89" s="3">
        <v>32.879752625778309</v>
      </c>
      <c r="F89" s="3">
        <v>33.807766762452147</v>
      </c>
      <c r="G89" s="3">
        <v>34.735780899125977</v>
      </c>
    </row>
    <row r="90" spans="2:10" x14ac:dyDescent="0.25">
      <c r="B90" s="31">
        <v>145</v>
      </c>
      <c r="C90" s="3">
        <v>28.903066914948258</v>
      </c>
      <c r="D90" s="3">
        <v>30.023868091393229</v>
      </c>
      <c r="E90" s="3">
        <v>31.1446692678382</v>
      </c>
      <c r="F90" s="3">
        <v>32.26547044428321</v>
      </c>
      <c r="G90" s="3">
        <v>33.386271620728117</v>
      </c>
    </row>
    <row r="91" spans="2:10" x14ac:dyDescent="0.25">
      <c r="B91" s="31">
        <v>160</v>
      </c>
      <c r="C91" s="3">
        <v>26.782409477465919</v>
      </c>
      <c r="D91" s="3">
        <v>28.09599769368203</v>
      </c>
      <c r="E91" s="3">
        <v>29.409585909898141</v>
      </c>
      <c r="F91" s="3">
        <v>30.723174126114191</v>
      </c>
      <c r="G91" s="3">
        <v>32.036762342330277</v>
      </c>
    </row>
    <row r="92" spans="2:10" x14ac:dyDescent="0.25">
      <c r="B92" s="31">
        <v>175</v>
      </c>
      <c r="C92" s="3">
        <v>24.66175203998359</v>
      </c>
      <c r="D92" s="3">
        <v>26.168127295970809</v>
      </c>
      <c r="E92" s="3">
        <v>27.67450255195801</v>
      </c>
      <c r="F92" s="3">
        <v>29.18087780794524</v>
      </c>
      <c r="G92" s="3">
        <v>30.68725306393247</v>
      </c>
    </row>
    <row r="93" spans="2:10" x14ac:dyDescent="0.25">
      <c r="B93" s="31">
        <v>190</v>
      </c>
      <c r="C93" s="3">
        <v>22.541094602501261</v>
      </c>
      <c r="D93" s="3">
        <v>24.240256898259581</v>
      </c>
      <c r="E93" s="3">
        <v>25.93941919401794</v>
      </c>
      <c r="F93" s="3">
        <v>27.638581489776271</v>
      </c>
      <c r="G93" s="3">
        <v>29.337743785534581</v>
      </c>
    </row>
    <row r="95" spans="2:10" x14ac:dyDescent="0.25">
      <c r="B95" s="10" t="s">
        <v>240</v>
      </c>
    </row>
    <row r="96" spans="2:10" x14ac:dyDescent="0.25">
      <c r="C96" s="32">
        <v>4.5</v>
      </c>
      <c r="D96" s="32">
        <v>5</v>
      </c>
      <c r="E96" s="32">
        <v>5.25</v>
      </c>
      <c r="F96" s="32">
        <v>5.5</v>
      </c>
      <c r="G96" s="32">
        <v>6</v>
      </c>
    </row>
    <row r="97" spans="2:7" x14ac:dyDescent="0.25">
      <c r="B97" s="31">
        <v>115</v>
      </c>
      <c r="C97" s="3">
        <v>26.115647851145891</v>
      </c>
      <c r="D97" s="3">
        <v>30.252897338463999</v>
      </c>
      <c r="E97" s="3">
        <v>32.32152208212306</v>
      </c>
      <c r="F97" s="3">
        <v>34.390146825782118</v>
      </c>
      <c r="G97" s="3">
        <v>38.52739631310024</v>
      </c>
    </row>
    <row r="98" spans="2:7" x14ac:dyDescent="0.25">
      <c r="B98" s="31">
        <v>130</v>
      </c>
      <c r="C98" s="3">
        <v>23.88785223765143</v>
      </c>
      <c r="D98" s="3">
        <v>27.777568879025718</v>
      </c>
      <c r="E98" s="3">
        <v>29.722427199712861</v>
      </c>
      <c r="F98" s="3">
        <v>31.667285520400011</v>
      </c>
      <c r="G98" s="3">
        <v>35.5570021617743</v>
      </c>
    </row>
    <row r="99" spans="2:7" x14ac:dyDescent="0.25">
      <c r="B99" s="31">
        <v>145</v>
      </c>
      <c r="C99" s="3">
        <v>21.660056624156951</v>
      </c>
      <c r="D99" s="3">
        <v>25.30224041958741</v>
      </c>
      <c r="E99" s="3">
        <v>27.123332317302641</v>
      </c>
      <c r="F99" s="3">
        <v>28.944424215017872</v>
      </c>
      <c r="G99" s="3">
        <v>32.58660801044833</v>
      </c>
    </row>
    <row r="100" spans="2:7" x14ac:dyDescent="0.25">
      <c r="B100" s="31">
        <v>160</v>
      </c>
      <c r="C100" s="3">
        <v>19.432261010662501</v>
      </c>
      <c r="D100" s="3">
        <v>22.826911960149129</v>
      </c>
      <c r="E100" s="3">
        <v>24.524237434892441</v>
      </c>
      <c r="F100" s="3">
        <v>26.221562909635761</v>
      </c>
      <c r="G100" s="3">
        <v>29.616213859122389</v>
      </c>
    </row>
    <row r="101" spans="2:7" x14ac:dyDescent="0.25">
      <c r="B101" s="31">
        <v>175</v>
      </c>
      <c r="C101" s="3">
        <v>17.20446539716799</v>
      </c>
      <c r="D101" s="3">
        <v>20.351583500710792</v>
      </c>
      <c r="E101" s="3">
        <v>21.925142552482189</v>
      </c>
      <c r="F101" s="3">
        <v>23.49870160425359</v>
      </c>
      <c r="G101" s="3">
        <v>26.645819707796381</v>
      </c>
    </row>
    <row r="102" spans="2:7" x14ac:dyDescent="0.25">
      <c r="B102" s="31">
        <v>190</v>
      </c>
      <c r="C102" s="3">
        <v>14.97666978367354</v>
      </c>
      <c r="D102" s="3">
        <v>17.876255041272511</v>
      </c>
      <c r="E102" s="3">
        <v>19.326047670072001</v>
      </c>
      <c r="F102" s="3">
        <v>20.775840298871479</v>
      </c>
      <c r="G102" s="3">
        <v>23.675425556470451</v>
      </c>
    </row>
    <row r="104" spans="2:7" x14ac:dyDescent="0.25">
      <c r="B104" s="10" t="s">
        <v>241</v>
      </c>
    </row>
    <row r="105" spans="2:7" x14ac:dyDescent="0.25">
      <c r="C105" s="30">
        <v>0.02</v>
      </c>
      <c r="D105" s="30">
        <v>2.5000000000000001E-2</v>
      </c>
      <c r="E105" s="30">
        <v>0.03</v>
      </c>
      <c r="F105" s="30">
        <v>3.5000000000000003E-2</v>
      </c>
      <c r="G105" s="30">
        <v>0.04</v>
      </c>
    </row>
    <row r="106" spans="2:7" x14ac:dyDescent="0.25">
      <c r="B106" s="30">
        <v>9.2999999999999999E-2</v>
      </c>
      <c r="C106" s="3">
        <v>38.662041144651411</v>
      </c>
      <c r="D106" s="3">
        <v>41.64008435817761</v>
      </c>
      <c r="E106" s="3">
        <v>45.090832843692141</v>
      </c>
      <c r="F106" s="3">
        <v>49.136537964640183</v>
      </c>
      <c r="G106" s="3">
        <v>53.945583674446368</v>
      </c>
    </row>
    <row r="107" spans="2:7" x14ac:dyDescent="0.25">
      <c r="B107" s="30">
        <v>9.8000000000000004E-2</v>
      </c>
      <c r="C107" s="3">
        <v>35.309917594190061</v>
      </c>
      <c r="D107" s="3">
        <v>37.862102508560618</v>
      </c>
      <c r="E107" s="3">
        <v>40.78960873386805</v>
      </c>
      <c r="F107" s="3">
        <v>44.181798487002048</v>
      </c>
      <c r="G107" s="3">
        <v>48.158848542400527</v>
      </c>
    </row>
    <row r="108" spans="2:7" x14ac:dyDescent="0.25">
      <c r="B108" s="30">
        <v>0.10299999999999999</v>
      </c>
      <c r="C108" s="3">
        <v>32.362988129797529</v>
      </c>
      <c r="D108" s="3">
        <v>34.569760352897461</v>
      </c>
      <c r="E108" s="3">
        <v>37.078830140805593</v>
      </c>
      <c r="F108" s="3">
        <v>39.956880779876691</v>
      </c>
      <c r="G108" s="3">
        <v>43.291764853720991</v>
      </c>
    </row>
    <row r="109" spans="2:7" x14ac:dyDescent="0.25">
      <c r="B109" s="30">
        <v>0.108</v>
      </c>
      <c r="C109" s="3">
        <v>29.752160333540871</v>
      </c>
      <c r="D109" s="3">
        <v>31.675267602975769</v>
      </c>
      <c r="E109" s="3">
        <v>33.844927086440791</v>
      </c>
      <c r="F109" s="3">
        <v>36.311800197777728</v>
      </c>
      <c r="G109" s="3">
        <v>39.141448766664212</v>
      </c>
    </row>
    <row r="110" spans="2:7" x14ac:dyDescent="0.25">
      <c r="B110" s="30">
        <v>0.113</v>
      </c>
      <c r="C110" s="3">
        <v>27.423200988278701</v>
      </c>
      <c r="D110" s="3">
        <v>29.110786889928761</v>
      </c>
      <c r="E110" s="3">
        <v>31.00169639418726</v>
      </c>
      <c r="F110" s="3">
        <v>33.135030193863507</v>
      </c>
      <c r="G110" s="3">
        <v>35.560601500344752</v>
      </c>
    </row>
    <row r="112" spans="2:7" x14ac:dyDescent="0.25">
      <c r="B112" s="10" t="s">
        <v>242</v>
      </c>
    </row>
    <row r="113" spans="2:3" x14ac:dyDescent="0.25">
      <c r="B113" s="2" t="s">
        <v>243</v>
      </c>
      <c r="C113" s="2" t="s">
        <v>244</v>
      </c>
    </row>
    <row r="114" spans="2:3" x14ac:dyDescent="0.25">
      <c r="B114" t="s">
        <v>245</v>
      </c>
      <c r="C114" s="15">
        <v>255.9</v>
      </c>
    </row>
    <row r="115" spans="2:3" x14ac:dyDescent="0.25">
      <c r="B115" t="s">
        <v>246</v>
      </c>
      <c r="C115" s="15">
        <v>226.5</v>
      </c>
    </row>
    <row r="116" spans="2:3" x14ac:dyDescent="0.25">
      <c r="B116" t="s">
        <v>247</v>
      </c>
      <c r="C116" s="15">
        <v>212</v>
      </c>
    </row>
    <row r="117" spans="2:3" x14ac:dyDescent="0.25">
      <c r="B117" t="s">
        <v>248</v>
      </c>
      <c r="C117" s="15">
        <v>157</v>
      </c>
    </row>
    <row r="118" spans="2:3" x14ac:dyDescent="0.25">
      <c r="B118" t="s">
        <v>249</v>
      </c>
      <c r="C118" s="15">
        <v>145.5</v>
      </c>
    </row>
    <row r="120" spans="2:3" x14ac:dyDescent="0.25">
      <c r="B120" t="s">
        <v>250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35"/>
  <sheetViews>
    <sheetView workbookViewId="0">
      <pane xSplit="2" ySplit="3" topLeftCell="C4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2" customWidth="1"/>
    <col min="2" max="2" width="10" customWidth="1"/>
    <col min="3" max="20" width="11" customWidth="1"/>
  </cols>
  <sheetData>
    <row r="1" spans="1:20" ht="17.25" x14ac:dyDescent="0.3">
      <c r="A1" s="9" t="s">
        <v>251</v>
      </c>
    </row>
    <row r="3" spans="1:20" x14ac:dyDescent="0.25">
      <c r="B3" s="2" t="s">
        <v>252</v>
      </c>
      <c r="C3" s="2" t="s">
        <v>103</v>
      </c>
      <c r="D3" s="2" t="s">
        <v>253</v>
      </c>
      <c r="E3" s="2" t="s">
        <v>254</v>
      </c>
      <c r="F3" s="2" t="s">
        <v>255</v>
      </c>
      <c r="G3" s="2" t="s">
        <v>256</v>
      </c>
      <c r="H3" s="2" t="s">
        <v>257</v>
      </c>
      <c r="I3" s="2" t="s">
        <v>258</v>
      </c>
      <c r="J3" s="2" t="s">
        <v>259</v>
      </c>
      <c r="K3" s="2" t="s">
        <v>260</v>
      </c>
      <c r="L3" s="2" t="s">
        <v>261</v>
      </c>
      <c r="M3" s="2" t="s">
        <v>262</v>
      </c>
      <c r="N3" s="5" t="s">
        <v>263</v>
      </c>
      <c r="O3" s="5" t="s">
        <v>264</v>
      </c>
      <c r="P3" s="5" t="s">
        <v>265</v>
      </c>
      <c r="Q3" s="5" t="s">
        <v>266</v>
      </c>
      <c r="R3" s="5" t="s">
        <v>267</v>
      </c>
      <c r="S3" s="5" t="s">
        <v>268</v>
      </c>
      <c r="T3" s="5" t="s">
        <v>269</v>
      </c>
    </row>
    <row r="4" spans="1:20" x14ac:dyDescent="0.25">
      <c r="B4" t="s">
        <v>270</v>
      </c>
      <c r="C4" s="6">
        <v>13217</v>
      </c>
      <c r="D4" s="6">
        <v>11317</v>
      </c>
      <c r="E4" s="6">
        <v>7089</v>
      </c>
      <c r="F4" s="6">
        <v>2460</v>
      </c>
      <c r="G4" s="6">
        <v>2089</v>
      </c>
      <c r="H4" s="6">
        <v>4131</v>
      </c>
      <c r="I4" s="6">
        <v>3386</v>
      </c>
      <c r="J4" s="6">
        <v>6626</v>
      </c>
      <c r="K4" s="6">
        <v>5843</v>
      </c>
      <c r="L4" s="6">
        <v>659</v>
      </c>
      <c r="M4" s="6">
        <v>329</v>
      </c>
      <c r="N4" s="4">
        <f t="shared" ref="N4:N35" si="0">D4/C4</f>
        <v>0.85624574411742449</v>
      </c>
      <c r="R4" s="4">
        <f t="shared" ref="R4:R35" si="1">G4/F4</f>
        <v>0.84918699186991875</v>
      </c>
      <c r="S4" s="4">
        <f t="shared" ref="S4:S35" si="2">I4/H4</f>
        <v>0.81965625756475424</v>
      </c>
      <c r="T4" s="4">
        <f t="shared" ref="T4:T35" si="3">K4/J4</f>
        <v>0.88182915786296412</v>
      </c>
    </row>
    <row r="5" spans="1:20" x14ac:dyDescent="0.25">
      <c r="B5" t="s">
        <v>271</v>
      </c>
      <c r="C5" s="6">
        <v>12256</v>
      </c>
      <c r="D5" s="6">
        <v>10343</v>
      </c>
      <c r="E5" s="6">
        <v>6419</v>
      </c>
      <c r="F5" s="6">
        <v>2342</v>
      </c>
      <c r="G5" s="6">
        <v>1959</v>
      </c>
      <c r="H5" s="6">
        <v>3771</v>
      </c>
      <c r="I5" s="6">
        <v>2977</v>
      </c>
      <c r="J5" s="6">
        <v>6142</v>
      </c>
      <c r="K5" s="6">
        <v>5406</v>
      </c>
      <c r="L5" s="6">
        <v>617</v>
      </c>
      <c r="M5" s="6">
        <v>332</v>
      </c>
      <c r="N5" s="4">
        <f t="shared" si="0"/>
        <v>0.84391318537859006</v>
      </c>
      <c r="R5" s="4">
        <f t="shared" si="1"/>
        <v>0.83646456020495308</v>
      </c>
      <c r="S5" s="4">
        <f t="shared" si="2"/>
        <v>0.78944577035269159</v>
      </c>
      <c r="T5" s="4">
        <f t="shared" si="3"/>
        <v>0.88016932595245845</v>
      </c>
    </row>
    <row r="6" spans="1:20" x14ac:dyDescent="0.25">
      <c r="B6" t="s">
        <v>272</v>
      </c>
      <c r="C6" s="6">
        <v>12987</v>
      </c>
      <c r="D6" s="6">
        <v>10798</v>
      </c>
      <c r="E6" s="6">
        <v>6727</v>
      </c>
      <c r="F6" s="6">
        <v>2352</v>
      </c>
      <c r="G6" s="6">
        <v>1862</v>
      </c>
      <c r="H6" s="6">
        <v>3952</v>
      </c>
      <c r="I6" s="6">
        <v>3225</v>
      </c>
      <c r="J6" s="6">
        <v>6684</v>
      </c>
      <c r="K6" s="6">
        <v>5710</v>
      </c>
      <c r="L6" s="6">
        <v>655</v>
      </c>
      <c r="M6" s="6">
        <v>353</v>
      </c>
      <c r="N6" s="4">
        <f t="shared" si="0"/>
        <v>0.8314468314468314</v>
      </c>
      <c r="R6" s="4">
        <f t="shared" si="1"/>
        <v>0.79166666666666663</v>
      </c>
      <c r="S6" s="4">
        <f t="shared" si="2"/>
        <v>0.81604251012145745</v>
      </c>
      <c r="T6" s="4">
        <f t="shared" si="3"/>
        <v>0.8542788749251945</v>
      </c>
    </row>
    <row r="7" spans="1:20" x14ac:dyDescent="0.25">
      <c r="B7" t="s">
        <v>273</v>
      </c>
      <c r="C7" s="6">
        <v>12406</v>
      </c>
      <c r="D7" s="6">
        <v>10059</v>
      </c>
      <c r="E7" s="6">
        <v>6247</v>
      </c>
      <c r="F7" s="6">
        <v>2184</v>
      </c>
      <c r="G7" s="6">
        <v>1730</v>
      </c>
      <c r="H7" s="6">
        <v>3895</v>
      </c>
      <c r="I7" s="6">
        <v>3018</v>
      </c>
      <c r="J7" s="6">
        <v>6327</v>
      </c>
      <c r="K7" s="6">
        <v>5310</v>
      </c>
      <c r="L7" s="6">
        <v>661</v>
      </c>
      <c r="M7" s="6">
        <v>349</v>
      </c>
      <c r="N7" s="4">
        <f t="shared" si="0"/>
        <v>0.81081734644526837</v>
      </c>
      <c r="R7" s="4">
        <f t="shared" si="1"/>
        <v>0.79212454212454209</v>
      </c>
      <c r="S7" s="4">
        <f t="shared" si="2"/>
        <v>0.7748395378690629</v>
      </c>
      <c r="T7" s="4">
        <f t="shared" si="3"/>
        <v>0.83926031294452352</v>
      </c>
    </row>
    <row r="8" spans="1:20" x14ac:dyDescent="0.25">
      <c r="B8" t="s">
        <v>274</v>
      </c>
      <c r="C8" s="6">
        <v>12760</v>
      </c>
      <c r="D8" s="6">
        <v>10382</v>
      </c>
      <c r="E8" s="6">
        <v>6382</v>
      </c>
      <c r="F8" s="6">
        <v>2218</v>
      </c>
      <c r="G8" s="6">
        <v>1751</v>
      </c>
      <c r="H8" s="6">
        <v>3786</v>
      </c>
      <c r="I8" s="6">
        <v>2988</v>
      </c>
      <c r="J8" s="6">
        <v>6756</v>
      </c>
      <c r="K8" s="6">
        <v>5643</v>
      </c>
      <c r="L8" s="6">
        <v>677</v>
      </c>
      <c r="M8" s="6">
        <v>370</v>
      </c>
      <c r="N8" s="4">
        <f t="shared" si="0"/>
        <v>0.8136363636363636</v>
      </c>
      <c r="R8" s="4">
        <f t="shared" si="1"/>
        <v>0.78944995491433723</v>
      </c>
      <c r="S8" s="4">
        <f t="shared" si="2"/>
        <v>0.78922345483359746</v>
      </c>
      <c r="T8" s="4">
        <f t="shared" si="3"/>
        <v>0.83525754884547065</v>
      </c>
    </row>
    <row r="9" spans="1:20" x14ac:dyDescent="0.25">
      <c r="B9" t="s">
        <v>275</v>
      </c>
      <c r="C9" s="6">
        <v>12570</v>
      </c>
      <c r="D9" s="6">
        <v>10587</v>
      </c>
      <c r="E9" s="6">
        <v>6505</v>
      </c>
      <c r="F9" s="6">
        <v>2126</v>
      </c>
      <c r="G9" s="6">
        <v>1750</v>
      </c>
      <c r="H9" s="6">
        <v>3774</v>
      </c>
      <c r="I9" s="6">
        <v>3138</v>
      </c>
      <c r="J9" s="6">
        <v>6670</v>
      </c>
      <c r="K9" s="6">
        <v>5699</v>
      </c>
      <c r="L9" s="6">
        <v>637</v>
      </c>
      <c r="M9" s="6">
        <v>329</v>
      </c>
      <c r="N9" s="4">
        <f t="shared" si="0"/>
        <v>0.84224343675417657</v>
      </c>
      <c r="R9" s="4">
        <f t="shared" si="1"/>
        <v>0.82314205079962366</v>
      </c>
      <c r="S9" s="4">
        <f t="shared" si="2"/>
        <v>0.83147853736089028</v>
      </c>
      <c r="T9" s="4">
        <f t="shared" si="3"/>
        <v>0.8544227886056972</v>
      </c>
    </row>
    <row r="10" spans="1:20" x14ac:dyDescent="0.25">
      <c r="B10" t="s">
        <v>276</v>
      </c>
      <c r="C10" s="6">
        <v>13847</v>
      </c>
      <c r="D10" s="6">
        <v>11951</v>
      </c>
      <c r="E10" s="6">
        <v>7325</v>
      </c>
      <c r="F10" s="6">
        <v>2346</v>
      </c>
      <c r="G10" s="6">
        <v>1976</v>
      </c>
      <c r="H10" s="6">
        <v>4198</v>
      </c>
      <c r="I10" s="6">
        <v>3623</v>
      </c>
      <c r="J10" s="6">
        <v>7303</v>
      </c>
      <c r="K10" s="6">
        <v>6352</v>
      </c>
      <c r="L10" s="6">
        <v>668</v>
      </c>
      <c r="M10" s="6">
        <v>342</v>
      </c>
      <c r="N10" s="4">
        <f t="shared" si="0"/>
        <v>0.86307503430345922</v>
      </c>
      <c r="R10" s="4">
        <f t="shared" si="1"/>
        <v>0.84228473998294973</v>
      </c>
      <c r="S10" s="4">
        <f t="shared" si="2"/>
        <v>0.86303001429252024</v>
      </c>
      <c r="T10" s="4">
        <f t="shared" si="3"/>
        <v>0.86977954265370394</v>
      </c>
    </row>
    <row r="11" spans="1:20" x14ac:dyDescent="0.25">
      <c r="B11" t="s">
        <v>277</v>
      </c>
      <c r="C11" s="6">
        <v>13662</v>
      </c>
      <c r="D11" s="6">
        <v>11505</v>
      </c>
      <c r="E11" s="6">
        <v>7050</v>
      </c>
      <c r="F11" s="6">
        <v>2278</v>
      </c>
      <c r="G11" s="6">
        <v>1889</v>
      </c>
      <c r="H11" s="6">
        <v>4129</v>
      </c>
      <c r="I11" s="6">
        <v>3410</v>
      </c>
      <c r="J11" s="6">
        <v>7255</v>
      </c>
      <c r="K11" s="6">
        <v>6205</v>
      </c>
      <c r="L11" s="6">
        <v>681</v>
      </c>
      <c r="M11" s="6">
        <v>358</v>
      </c>
      <c r="N11" s="4">
        <f t="shared" si="0"/>
        <v>0.84211682037768998</v>
      </c>
      <c r="R11" s="4">
        <f t="shared" si="1"/>
        <v>0.8292361720807726</v>
      </c>
      <c r="S11" s="4">
        <f t="shared" si="2"/>
        <v>0.82586582707677403</v>
      </c>
      <c r="T11" s="4">
        <f t="shared" si="3"/>
        <v>0.85527222605099928</v>
      </c>
    </row>
    <row r="12" spans="1:20" x14ac:dyDescent="0.25">
      <c r="B12" t="s">
        <v>278</v>
      </c>
      <c r="C12" s="6">
        <v>13203</v>
      </c>
      <c r="D12" s="6">
        <v>11113</v>
      </c>
      <c r="E12" s="6">
        <v>6762</v>
      </c>
      <c r="F12" s="6">
        <v>2267</v>
      </c>
      <c r="G12" s="6">
        <v>1846</v>
      </c>
      <c r="H12" s="6">
        <v>3914</v>
      </c>
      <c r="I12" s="6">
        <v>3241</v>
      </c>
      <c r="J12" s="6">
        <v>7022</v>
      </c>
      <c r="K12" s="6">
        <v>6026</v>
      </c>
      <c r="L12" s="6">
        <v>669</v>
      </c>
      <c r="M12" s="6">
        <v>372</v>
      </c>
      <c r="N12" s="4">
        <f t="shared" si="0"/>
        <v>0.8417026433386352</v>
      </c>
      <c r="R12" s="4">
        <f t="shared" si="1"/>
        <v>0.81429201588001765</v>
      </c>
      <c r="S12" s="4">
        <f t="shared" si="2"/>
        <v>0.82805314256515072</v>
      </c>
      <c r="T12" s="4">
        <f t="shared" si="3"/>
        <v>0.85816006835659353</v>
      </c>
    </row>
    <row r="13" spans="1:20" x14ac:dyDescent="0.25">
      <c r="B13" t="s">
        <v>279</v>
      </c>
      <c r="C13" s="6">
        <v>13685</v>
      </c>
      <c r="D13" s="6">
        <v>11721</v>
      </c>
      <c r="E13" s="6">
        <v>7174</v>
      </c>
      <c r="F13" s="6">
        <v>2424</v>
      </c>
      <c r="G13" s="6">
        <v>1978</v>
      </c>
      <c r="H13" s="6">
        <v>4098</v>
      </c>
      <c r="I13" s="6">
        <v>3455</v>
      </c>
      <c r="J13" s="6">
        <v>7163</v>
      </c>
      <c r="K13" s="6">
        <v>6288</v>
      </c>
      <c r="L13" s="6">
        <v>706</v>
      </c>
      <c r="M13" s="6">
        <v>408</v>
      </c>
      <c r="N13" s="4">
        <f t="shared" si="0"/>
        <v>0.85648520277676288</v>
      </c>
      <c r="R13" s="4">
        <f t="shared" si="1"/>
        <v>0.81600660066006603</v>
      </c>
      <c r="S13" s="4">
        <f t="shared" si="2"/>
        <v>0.84309419228892146</v>
      </c>
      <c r="T13" s="4">
        <f t="shared" si="3"/>
        <v>0.87784447857043135</v>
      </c>
    </row>
    <row r="14" spans="1:20" x14ac:dyDescent="0.25">
      <c r="B14" t="s">
        <v>280</v>
      </c>
      <c r="C14" s="6">
        <v>13258</v>
      </c>
      <c r="D14" s="6">
        <v>11418</v>
      </c>
      <c r="E14" s="6">
        <v>7027</v>
      </c>
      <c r="F14" s="6">
        <v>2350</v>
      </c>
      <c r="G14" s="6">
        <v>1989</v>
      </c>
      <c r="H14" s="6">
        <v>3996</v>
      </c>
      <c r="I14" s="6">
        <v>3427</v>
      </c>
      <c r="J14" s="6">
        <v>6912</v>
      </c>
      <c r="K14" s="6">
        <v>6002</v>
      </c>
      <c r="L14" s="6">
        <v>690</v>
      </c>
      <c r="M14" s="6">
        <v>388</v>
      </c>
      <c r="N14" s="4">
        <f t="shared" si="0"/>
        <v>0.86121586966359931</v>
      </c>
      <c r="R14" s="4">
        <f t="shared" si="1"/>
        <v>0.84638297872340429</v>
      </c>
      <c r="S14" s="4">
        <f t="shared" si="2"/>
        <v>0.85760760760760757</v>
      </c>
      <c r="T14" s="4">
        <f t="shared" si="3"/>
        <v>0.86834490740740744</v>
      </c>
    </row>
    <row r="15" spans="1:20" x14ac:dyDescent="0.25">
      <c r="B15" t="s">
        <v>281</v>
      </c>
      <c r="C15" s="6">
        <v>14080</v>
      </c>
      <c r="D15" s="6">
        <v>11943</v>
      </c>
      <c r="E15" s="6">
        <v>7300</v>
      </c>
      <c r="F15" s="6">
        <v>2471</v>
      </c>
      <c r="G15" s="6">
        <v>2072</v>
      </c>
      <c r="H15" s="6">
        <v>4282</v>
      </c>
      <c r="I15" s="6">
        <v>3587</v>
      </c>
      <c r="J15" s="6">
        <v>7327</v>
      </c>
      <c r="K15" s="6">
        <v>6284</v>
      </c>
      <c r="L15" s="6">
        <v>747</v>
      </c>
      <c r="M15" s="6">
        <v>402</v>
      </c>
      <c r="N15" s="4">
        <f t="shared" si="0"/>
        <v>0.84822443181818186</v>
      </c>
      <c r="R15" s="4">
        <f t="shared" si="1"/>
        <v>0.83852691218130315</v>
      </c>
      <c r="S15" s="4">
        <f t="shared" si="2"/>
        <v>0.83769266697804767</v>
      </c>
      <c r="T15" s="4">
        <f t="shared" si="3"/>
        <v>0.85764978845366457</v>
      </c>
    </row>
    <row r="16" spans="1:20" x14ac:dyDescent="0.25">
      <c r="B16" t="s">
        <v>282</v>
      </c>
      <c r="C16" s="6">
        <v>14471</v>
      </c>
      <c r="D16" s="6">
        <v>12259</v>
      </c>
      <c r="E16" s="6">
        <v>7504</v>
      </c>
      <c r="F16" s="6">
        <v>2542</v>
      </c>
      <c r="G16" s="6">
        <v>2139</v>
      </c>
      <c r="H16" s="6">
        <v>4511</v>
      </c>
      <c r="I16" s="6">
        <v>3739</v>
      </c>
      <c r="J16" s="6">
        <v>7419</v>
      </c>
      <c r="K16" s="6">
        <v>6381</v>
      </c>
      <c r="L16" s="6">
        <v>701</v>
      </c>
      <c r="M16" s="6">
        <v>357</v>
      </c>
      <c r="N16" s="4">
        <f t="shared" si="0"/>
        <v>0.84714256098403706</v>
      </c>
      <c r="O16" s="33">
        <f t="shared" ref="O16:O35" si="4">(N16-N4)*100</f>
        <v>-0.91031831333874269</v>
      </c>
      <c r="P16" s="4">
        <f t="shared" ref="P16:P35" si="5">C16/C4-1</f>
        <v>9.4877808882499748E-2</v>
      </c>
      <c r="Q16" s="4">
        <f t="shared" ref="Q16:Q35" si="6">D16/D4-1</f>
        <v>8.3237607139701408E-2</v>
      </c>
      <c r="R16" s="4">
        <f t="shared" si="1"/>
        <v>0.84146341463414631</v>
      </c>
      <c r="S16" s="4">
        <f t="shared" si="2"/>
        <v>0.82886277987142543</v>
      </c>
      <c r="T16" s="4">
        <f t="shared" si="3"/>
        <v>0.86008896077638497</v>
      </c>
    </row>
    <row r="17" spans="2:20" x14ac:dyDescent="0.25">
      <c r="B17" t="s">
        <v>283</v>
      </c>
      <c r="C17" s="6">
        <v>12797</v>
      </c>
      <c r="D17" s="6">
        <v>10664</v>
      </c>
      <c r="E17" s="6">
        <v>6537</v>
      </c>
      <c r="F17" s="6">
        <v>2308</v>
      </c>
      <c r="G17" s="6">
        <v>1960</v>
      </c>
      <c r="H17" s="6">
        <v>3786</v>
      </c>
      <c r="I17" s="6">
        <v>3020</v>
      </c>
      <c r="J17" s="6">
        <v>6703</v>
      </c>
      <c r="K17" s="6">
        <v>5684</v>
      </c>
      <c r="L17" s="6">
        <v>638</v>
      </c>
      <c r="M17" s="6">
        <v>341</v>
      </c>
      <c r="N17" s="4">
        <f t="shared" si="0"/>
        <v>0.83332030944752677</v>
      </c>
      <c r="O17" s="33">
        <f t="shared" si="4"/>
        <v>-1.0592875931063284</v>
      </c>
      <c r="P17" s="4">
        <f t="shared" si="5"/>
        <v>4.4141644908616273E-2</v>
      </c>
      <c r="Q17" s="4">
        <f t="shared" si="6"/>
        <v>3.1035482935318548E-2</v>
      </c>
      <c r="R17" s="4">
        <f t="shared" si="1"/>
        <v>0.84922010398613523</v>
      </c>
      <c r="S17" s="4">
        <f t="shared" si="2"/>
        <v>0.79767564712097205</v>
      </c>
      <c r="T17" s="4">
        <f t="shared" si="3"/>
        <v>0.84797851708190364</v>
      </c>
    </row>
    <row r="18" spans="2:20" x14ac:dyDescent="0.25">
      <c r="B18" t="s">
        <v>284</v>
      </c>
      <c r="C18" s="6">
        <v>13917</v>
      </c>
      <c r="D18" s="6">
        <v>11399</v>
      </c>
      <c r="E18" s="6">
        <v>6928</v>
      </c>
      <c r="F18" s="6">
        <v>2463</v>
      </c>
      <c r="G18" s="6">
        <v>1960</v>
      </c>
      <c r="H18" s="6">
        <v>4111</v>
      </c>
      <c r="I18" s="6">
        <v>3265</v>
      </c>
      <c r="J18" s="6">
        <v>7344</v>
      </c>
      <c r="K18" s="6">
        <v>6175</v>
      </c>
      <c r="L18" s="6">
        <v>677</v>
      </c>
      <c r="M18" s="6">
        <v>371</v>
      </c>
      <c r="N18" s="4">
        <f t="shared" si="0"/>
        <v>0.81907020191133151</v>
      </c>
      <c r="O18" s="33">
        <f t="shared" si="4"/>
        <v>-1.2376629535499895</v>
      </c>
      <c r="P18" s="4">
        <f t="shared" si="5"/>
        <v>7.1610071610071602E-2</v>
      </c>
      <c r="Q18" s="4">
        <f t="shared" si="6"/>
        <v>5.5658455269494311E-2</v>
      </c>
      <c r="R18" s="4">
        <f t="shared" si="1"/>
        <v>0.79577750710515627</v>
      </c>
      <c r="S18" s="4">
        <f t="shared" si="2"/>
        <v>0.79421065434200921</v>
      </c>
      <c r="T18" s="4">
        <f t="shared" si="3"/>
        <v>0.84082244008714602</v>
      </c>
    </row>
    <row r="19" spans="2:20" x14ac:dyDescent="0.25">
      <c r="B19" t="s">
        <v>285</v>
      </c>
      <c r="C19" s="6">
        <v>13259</v>
      </c>
      <c r="D19" s="6">
        <v>11058</v>
      </c>
      <c r="E19" s="6">
        <v>6723</v>
      </c>
      <c r="F19" s="6">
        <v>2177</v>
      </c>
      <c r="G19" s="6">
        <v>1763</v>
      </c>
      <c r="H19" s="6">
        <v>4126</v>
      </c>
      <c r="I19" s="6">
        <v>3373</v>
      </c>
      <c r="J19" s="6">
        <v>6956</v>
      </c>
      <c r="K19" s="6">
        <v>5923</v>
      </c>
      <c r="L19" s="6">
        <v>693</v>
      </c>
      <c r="M19" s="6">
        <v>386</v>
      </c>
      <c r="N19" s="4">
        <f t="shared" si="0"/>
        <v>0.8339995474771853</v>
      </c>
      <c r="O19" s="33">
        <f t="shared" si="4"/>
        <v>2.3182201031916927</v>
      </c>
      <c r="P19" s="4">
        <f t="shared" si="5"/>
        <v>6.8757053038852156E-2</v>
      </c>
      <c r="Q19" s="4">
        <f t="shared" si="6"/>
        <v>9.931404712198022E-2</v>
      </c>
      <c r="R19" s="4">
        <f t="shared" si="1"/>
        <v>0.80983004134129533</v>
      </c>
      <c r="S19" s="4">
        <f t="shared" si="2"/>
        <v>0.81749878817256427</v>
      </c>
      <c r="T19" s="4">
        <f t="shared" si="3"/>
        <v>0.85149511213341</v>
      </c>
    </row>
    <row r="20" spans="2:20" x14ac:dyDescent="0.25">
      <c r="B20" t="s">
        <v>286</v>
      </c>
      <c r="C20" s="6">
        <v>13685</v>
      </c>
      <c r="D20" s="6">
        <v>11378</v>
      </c>
      <c r="E20" s="6">
        <v>6888</v>
      </c>
      <c r="F20" s="6">
        <v>2203</v>
      </c>
      <c r="G20" s="6">
        <v>1742</v>
      </c>
      <c r="H20" s="6">
        <v>4279</v>
      </c>
      <c r="I20" s="6">
        <v>3510</v>
      </c>
      <c r="J20" s="6">
        <v>7203</v>
      </c>
      <c r="K20" s="6">
        <v>6126</v>
      </c>
      <c r="L20" s="6">
        <v>688</v>
      </c>
      <c r="M20" s="6">
        <v>367</v>
      </c>
      <c r="N20" s="4">
        <f t="shared" si="0"/>
        <v>0.83142126415783701</v>
      </c>
      <c r="O20" s="33">
        <f t="shared" si="4"/>
        <v>1.7784900521473412</v>
      </c>
      <c r="P20" s="4">
        <f t="shared" si="5"/>
        <v>7.249216300940442E-2</v>
      </c>
      <c r="Q20" s="4">
        <f t="shared" si="6"/>
        <v>9.5935272587170051E-2</v>
      </c>
      <c r="R20" s="4">
        <f t="shared" si="1"/>
        <v>0.7907399001361779</v>
      </c>
      <c r="S20" s="4">
        <f t="shared" si="2"/>
        <v>0.82028511334423926</v>
      </c>
      <c r="T20" s="4">
        <f t="shared" si="3"/>
        <v>0.85047896709704285</v>
      </c>
    </row>
    <row r="21" spans="2:20" x14ac:dyDescent="0.25">
      <c r="B21" t="s">
        <v>287</v>
      </c>
      <c r="C21" s="6">
        <v>13919</v>
      </c>
      <c r="D21" s="6">
        <v>11666</v>
      </c>
      <c r="E21" s="6">
        <v>6981</v>
      </c>
      <c r="F21" s="6">
        <v>2129</v>
      </c>
      <c r="G21" s="6">
        <v>1730</v>
      </c>
      <c r="H21" s="6">
        <v>4300</v>
      </c>
      <c r="I21" s="6">
        <v>3616</v>
      </c>
      <c r="J21" s="6">
        <v>7491</v>
      </c>
      <c r="K21" s="6">
        <v>6320</v>
      </c>
      <c r="L21" s="6">
        <v>671</v>
      </c>
      <c r="M21" s="6">
        <v>355</v>
      </c>
      <c r="N21" s="4">
        <f t="shared" si="0"/>
        <v>0.83813492348588259</v>
      </c>
      <c r="O21" s="33">
        <f t="shared" si="4"/>
        <v>-0.41085132682939784</v>
      </c>
      <c r="P21" s="4">
        <f t="shared" si="5"/>
        <v>0.1073190135242641</v>
      </c>
      <c r="Q21" s="4">
        <f t="shared" si="6"/>
        <v>0.10191744592424667</v>
      </c>
      <c r="R21" s="4">
        <f t="shared" si="1"/>
        <v>0.81258806951620477</v>
      </c>
      <c r="S21" s="4">
        <f t="shared" si="2"/>
        <v>0.84093023255813959</v>
      </c>
      <c r="T21" s="4">
        <f t="shared" si="3"/>
        <v>0.84367908156454408</v>
      </c>
    </row>
    <row r="22" spans="2:20" x14ac:dyDescent="0.25">
      <c r="B22" t="s">
        <v>288</v>
      </c>
      <c r="C22" s="6">
        <v>15225</v>
      </c>
      <c r="D22" s="6">
        <v>13199</v>
      </c>
      <c r="E22" s="6">
        <v>7904</v>
      </c>
      <c r="F22" s="6">
        <v>2337</v>
      </c>
      <c r="G22" s="6">
        <v>2013</v>
      </c>
      <c r="H22" s="6">
        <v>4694</v>
      </c>
      <c r="I22" s="6">
        <v>4094</v>
      </c>
      <c r="J22" s="6">
        <v>8195</v>
      </c>
      <c r="K22" s="6">
        <v>7093</v>
      </c>
      <c r="L22" s="6">
        <v>703</v>
      </c>
      <c r="M22" s="6">
        <v>362</v>
      </c>
      <c r="N22" s="4">
        <f t="shared" si="0"/>
        <v>0.86692939244663381</v>
      </c>
      <c r="O22" s="33">
        <f t="shared" si="4"/>
        <v>0.38543581431745855</v>
      </c>
      <c r="P22" s="4">
        <f t="shared" si="5"/>
        <v>9.9516140680291798E-2</v>
      </c>
      <c r="Q22" s="4">
        <f t="shared" si="6"/>
        <v>0.10442640783198054</v>
      </c>
      <c r="R22" s="4">
        <f t="shared" si="1"/>
        <v>0.8613607188703466</v>
      </c>
      <c r="S22" s="4">
        <f t="shared" si="2"/>
        <v>0.87217724755006387</v>
      </c>
      <c r="T22" s="4">
        <f t="shared" si="3"/>
        <v>0.86552776082977423</v>
      </c>
    </row>
    <row r="23" spans="2:20" x14ac:dyDescent="0.25">
      <c r="B23" t="s">
        <v>289</v>
      </c>
      <c r="C23" s="6">
        <v>14942</v>
      </c>
      <c r="D23" s="6">
        <v>12753</v>
      </c>
      <c r="E23" s="6">
        <v>7694</v>
      </c>
      <c r="F23" s="6">
        <v>2219</v>
      </c>
      <c r="G23" s="6">
        <v>1900</v>
      </c>
      <c r="H23" s="6">
        <v>4596</v>
      </c>
      <c r="I23" s="6">
        <v>3954</v>
      </c>
      <c r="J23" s="6">
        <v>8126</v>
      </c>
      <c r="K23" s="6">
        <v>6899</v>
      </c>
      <c r="L23" s="6">
        <v>716</v>
      </c>
      <c r="M23" s="6">
        <v>374</v>
      </c>
      <c r="N23" s="4">
        <f t="shared" si="0"/>
        <v>0.85350020077633515</v>
      </c>
      <c r="O23" s="33">
        <f t="shared" si="4"/>
        <v>1.1383380398645171</v>
      </c>
      <c r="P23" s="4">
        <f t="shared" si="5"/>
        <v>9.369052847313708E-2</v>
      </c>
      <c r="Q23" s="4">
        <f t="shared" si="6"/>
        <v>0.10847457627118651</v>
      </c>
      <c r="R23" s="4">
        <f t="shared" si="1"/>
        <v>0.85624155024785942</v>
      </c>
      <c r="S23" s="4">
        <f t="shared" si="2"/>
        <v>0.86031331592689297</v>
      </c>
      <c r="T23" s="4">
        <f t="shared" si="3"/>
        <v>0.8490031996062023</v>
      </c>
    </row>
    <row r="24" spans="2:20" x14ac:dyDescent="0.25">
      <c r="B24" t="s">
        <v>290</v>
      </c>
      <c r="C24" s="6">
        <v>14350</v>
      </c>
      <c r="D24" s="6">
        <v>12086</v>
      </c>
      <c r="E24" s="6">
        <v>7303</v>
      </c>
      <c r="F24" s="6">
        <v>2190</v>
      </c>
      <c r="G24" s="6">
        <v>1824</v>
      </c>
      <c r="H24" s="6">
        <v>4461</v>
      </c>
      <c r="I24" s="6">
        <v>3792</v>
      </c>
      <c r="J24" s="6">
        <v>7699</v>
      </c>
      <c r="K24" s="6">
        <v>6470</v>
      </c>
      <c r="L24" s="6">
        <v>688</v>
      </c>
      <c r="M24" s="6">
        <v>365</v>
      </c>
      <c r="N24" s="4">
        <f t="shared" si="0"/>
        <v>0.84222996515679438</v>
      </c>
      <c r="O24" s="33">
        <f t="shared" si="4"/>
        <v>5.2732181815917656E-2</v>
      </c>
      <c r="P24" s="4">
        <f t="shared" si="5"/>
        <v>8.6874195258653364E-2</v>
      </c>
      <c r="Q24" s="4">
        <f t="shared" si="6"/>
        <v>8.7555115630342906E-2</v>
      </c>
      <c r="R24" s="4">
        <f t="shared" si="1"/>
        <v>0.83287671232876714</v>
      </c>
      <c r="S24" s="4">
        <f t="shared" si="2"/>
        <v>0.85003362474781441</v>
      </c>
      <c r="T24" s="4">
        <f t="shared" si="3"/>
        <v>0.84036887907520452</v>
      </c>
    </row>
    <row r="25" spans="2:20" x14ac:dyDescent="0.25">
      <c r="B25" t="s">
        <v>291</v>
      </c>
      <c r="C25" s="6">
        <v>14695</v>
      </c>
      <c r="D25" s="6">
        <v>12561</v>
      </c>
      <c r="E25" s="6">
        <v>7729</v>
      </c>
      <c r="F25" s="6">
        <v>2374</v>
      </c>
      <c r="G25" s="6">
        <v>2000</v>
      </c>
      <c r="H25" s="6">
        <v>4639</v>
      </c>
      <c r="I25" s="6">
        <v>3968</v>
      </c>
      <c r="J25" s="6">
        <v>7682</v>
      </c>
      <c r="K25" s="6">
        <v>6593</v>
      </c>
      <c r="L25" s="6">
        <v>710</v>
      </c>
      <c r="M25" s="6">
        <v>385</v>
      </c>
      <c r="N25" s="4">
        <f t="shared" si="0"/>
        <v>0.85478053759782235</v>
      </c>
      <c r="O25" s="33">
        <f t="shared" si="4"/>
        <v>-0.17046651789405232</v>
      </c>
      <c r="P25" s="4">
        <f t="shared" si="5"/>
        <v>7.3803434417245128E-2</v>
      </c>
      <c r="Q25" s="4">
        <f t="shared" si="6"/>
        <v>7.1666240081904364E-2</v>
      </c>
      <c r="R25" s="4">
        <f t="shared" si="1"/>
        <v>0.84245998315080028</v>
      </c>
      <c r="S25" s="4">
        <f t="shared" si="2"/>
        <v>0.85535675792196597</v>
      </c>
      <c r="T25" s="4">
        <f t="shared" si="3"/>
        <v>0.8582400416558188</v>
      </c>
    </row>
    <row r="26" spans="2:20" x14ac:dyDescent="0.25">
      <c r="B26" t="s">
        <v>292</v>
      </c>
      <c r="C26" s="6">
        <v>13863</v>
      </c>
      <c r="D26" s="6">
        <v>11833</v>
      </c>
      <c r="E26" s="6">
        <v>7370</v>
      </c>
      <c r="F26" s="6">
        <v>2224</v>
      </c>
      <c r="G26" s="6">
        <v>1908</v>
      </c>
      <c r="H26" s="6">
        <v>4453</v>
      </c>
      <c r="I26" s="6">
        <v>3842</v>
      </c>
      <c r="J26" s="6">
        <v>7187</v>
      </c>
      <c r="K26" s="6">
        <v>6083</v>
      </c>
      <c r="L26" s="6">
        <v>696</v>
      </c>
      <c r="M26" s="6">
        <v>388</v>
      </c>
      <c r="N26" s="4">
        <f t="shared" si="0"/>
        <v>0.85356704897929736</v>
      </c>
      <c r="O26" s="33">
        <f t="shared" si="4"/>
        <v>-0.76488206843019491</v>
      </c>
      <c r="P26" s="4">
        <f t="shared" si="5"/>
        <v>4.563282546387093E-2</v>
      </c>
      <c r="Q26" s="4">
        <f t="shared" si="6"/>
        <v>3.634612016114902E-2</v>
      </c>
      <c r="R26" s="4">
        <f t="shared" si="1"/>
        <v>0.8579136690647482</v>
      </c>
      <c r="S26" s="4">
        <f t="shared" si="2"/>
        <v>0.86278913092297327</v>
      </c>
      <c r="T26" s="4">
        <f t="shared" si="3"/>
        <v>0.84638931403923756</v>
      </c>
    </row>
    <row r="27" spans="2:20" x14ac:dyDescent="0.25">
      <c r="B27" t="s">
        <v>293</v>
      </c>
      <c r="C27" s="6">
        <v>15617</v>
      </c>
      <c r="D27" s="6">
        <v>13192</v>
      </c>
      <c r="E27" s="6">
        <v>7853</v>
      </c>
      <c r="F27" s="6">
        <v>2482</v>
      </c>
      <c r="G27" s="6">
        <v>2116</v>
      </c>
      <c r="H27" s="6">
        <v>4791</v>
      </c>
      <c r="I27" s="6">
        <v>4032</v>
      </c>
      <c r="J27" s="6">
        <v>8343</v>
      </c>
      <c r="K27" s="6">
        <v>7044</v>
      </c>
      <c r="L27" s="6">
        <v>731</v>
      </c>
      <c r="M27" s="6">
        <v>377</v>
      </c>
      <c r="N27" s="4">
        <f t="shared" si="0"/>
        <v>0.84472049689440998</v>
      </c>
      <c r="O27" s="33">
        <f t="shared" si="4"/>
        <v>-0.35039349237718787</v>
      </c>
      <c r="P27" s="4">
        <f t="shared" si="5"/>
        <v>0.10916193181818179</v>
      </c>
      <c r="Q27" s="4">
        <f t="shared" si="6"/>
        <v>0.10458008875491931</v>
      </c>
      <c r="R27" s="4">
        <f t="shared" si="1"/>
        <v>0.85253827558420625</v>
      </c>
      <c r="S27" s="4">
        <f t="shared" si="2"/>
        <v>0.84157795867251095</v>
      </c>
      <c r="T27" s="4">
        <f t="shared" si="3"/>
        <v>0.8443006112909025</v>
      </c>
    </row>
    <row r="28" spans="2:20" x14ac:dyDescent="0.25">
      <c r="B28" t="s">
        <v>294</v>
      </c>
      <c r="C28" s="6">
        <v>16072</v>
      </c>
      <c r="D28" s="6">
        <v>13892</v>
      </c>
      <c r="E28" s="6">
        <v>8178</v>
      </c>
      <c r="F28" s="6">
        <v>2521</v>
      </c>
      <c r="G28" s="6">
        <v>2215</v>
      </c>
      <c r="H28" s="6">
        <v>4995</v>
      </c>
      <c r="I28" s="6">
        <v>4182</v>
      </c>
      <c r="J28" s="6">
        <v>8556</v>
      </c>
      <c r="K28" s="6">
        <v>7495</v>
      </c>
      <c r="L28" s="6">
        <v>746</v>
      </c>
      <c r="M28" s="6">
        <v>350</v>
      </c>
      <c r="N28" s="4">
        <f t="shared" si="0"/>
        <v>0.86436037829766055</v>
      </c>
      <c r="O28" s="33">
        <f t="shared" si="4"/>
        <v>1.7217817313623485</v>
      </c>
      <c r="P28" s="4">
        <f t="shared" si="5"/>
        <v>0.11063506322990802</v>
      </c>
      <c r="Q28" s="4">
        <f t="shared" si="6"/>
        <v>0.13320825515947465</v>
      </c>
      <c r="R28" s="4">
        <f t="shared" si="1"/>
        <v>0.87861959539865131</v>
      </c>
      <c r="S28" s="4">
        <f t="shared" si="2"/>
        <v>0.8372372372372372</v>
      </c>
      <c r="T28" s="4">
        <f t="shared" si="3"/>
        <v>0.87599345488546054</v>
      </c>
    </row>
    <row r="29" spans="2:20" x14ac:dyDescent="0.25">
      <c r="B29" t="s">
        <v>295</v>
      </c>
      <c r="C29" s="6">
        <v>14252</v>
      </c>
      <c r="D29" s="6">
        <v>12195</v>
      </c>
      <c r="E29" s="6">
        <v>7148</v>
      </c>
      <c r="F29" s="6">
        <v>2296</v>
      </c>
      <c r="G29" s="6">
        <v>1998</v>
      </c>
      <c r="H29" s="6">
        <v>4260</v>
      </c>
      <c r="I29" s="6">
        <v>3491</v>
      </c>
      <c r="J29" s="6">
        <v>7696</v>
      </c>
      <c r="K29" s="6">
        <v>6706</v>
      </c>
      <c r="L29" s="6">
        <v>686</v>
      </c>
      <c r="M29" s="6">
        <v>360</v>
      </c>
      <c r="N29" s="4">
        <f t="shared" si="0"/>
        <v>0.8556693797361774</v>
      </c>
      <c r="O29" s="33">
        <f t="shared" si="4"/>
        <v>2.234907028865063</v>
      </c>
      <c r="P29" s="4">
        <f t="shared" si="5"/>
        <v>0.11369852309134965</v>
      </c>
      <c r="Q29" s="4">
        <f t="shared" si="6"/>
        <v>0.14356714178544627</v>
      </c>
      <c r="R29" s="4">
        <f t="shared" si="1"/>
        <v>0.87020905923344949</v>
      </c>
      <c r="S29" s="4">
        <f t="shared" si="2"/>
        <v>0.81948356807511735</v>
      </c>
      <c r="T29" s="4">
        <f t="shared" si="3"/>
        <v>0.87136174636174635</v>
      </c>
    </row>
    <row r="30" spans="2:20" x14ac:dyDescent="0.25">
      <c r="B30" t="s">
        <v>296</v>
      </c>
      <c r="C30" s="6">
        <v>15215</v>
      </c>
      <c r="D30" s="6">
        <v>12757</v>
      </c>
      <c r="E30" s="6">
        <v>7554</v>
      </c>
      <c r="F30" s="6">
        <v>2446</v>
      </c>
      <c r="G30" s="6">
        <v>2019</v>
      </c>
      <c r="H30" s="6">
        <v>4626</v>
      </c>
      <c r="I30" s="6">
        <v>3774</v>
      </c>
      <c r="J30" s="6">
        <v>8143</v>
      </c>
      <c r="K30" s="6">
        <v>6964</v>
      </c>
      <c r="L30" s="6">
        <v>723</v>
      </c>
      <c r="M30" s="6">
        <v>387</v>
      </c>
      <c r="N30" s="4">
        <f t="shared" si="0"/>
        <v>0.83844889911271769</v>
      </c>
      <c r="O30" s="33">
        <f t="shared" si="4"/>
        <v>1.9378697201386186</v>
      </c>
      <c r="P30" s="4">
        <f t="shared" si="5"/>
        <v>9.3267227132284303E-2</v>
      </c>
      <c r="Q30" s="4">
        <f t="shared" si="6"/>
        <v>0.11913325730327218</v>
      </c>
      <c r="R30" s="4">
        <f t="shared" si="1"/>
        <v>0.82542927228127561</v>
      </c>
      <c r="S30" s="4">
        <f t="shared" si="2"/>
        <v>0.81582360570687418</v>
      </c>
      <c r="T30" s="4">
        <f t="shared" si="3"/>
        <v>0.85521306643743089</v>
      </c>
    </row>
    <row r="31" spans="2:20" x14ac:dyDescent="0.25">
      <c r="B31" t="s">
        <v>297</v>
      </c>
      <c r="C31" s="6">
        <v>14364</v>
      </c>
      <c r="D31" s="6">
        <v>11828</v>
      </c>
      <c r="E31" s="6">
        <v>6910</v>
      </c>
      <c r="F31" s="6">
        <v>2307</v>
      </c>
      <c r="G31" s="6">
        <v>1821</v>
      </c>
      <c r="H31" s="6">
        <v>4291</v>
      </c>
      <c r="I31" s="6">
        <v>3442</v>
      </c>
      <c r="J31" s="6">
        <v>7766</v>
      </c>
      <c r="K31" s="6">
        <v>6565</v>
      </c>
      <c r="L31" s="6">
        <v>730</v>
      </c>
      <c r="M31" s="6">
        <v>394</v>
      </c>
      <c r="N31" s="4">
        <f t="shared" si="0"/>
        <v>0.82344750765803398</v>
      </c>
      <c r="O31" s="33">
        <f t="shared" si="4"/>
        <v>-1.0552039819151315</v>
      </c>
      <c r="P31" s="4">
        <f t="shared" si="5"/>
        <v>8.3339618372426205E-2</v>
      </c>
      <c r="Q31" s="4">
        <f t="shared" si="6"/>
        <v>6.9632844999095722E-2</v>
      </c>
      <c r="R31" s="4">
        <f t="shared" si="1"/>
        <v>0.78933680104031212</v>
      </c>
      <c r="S31" s="4">
        <f t="shared" si="2"/>
        <v>0.80214402237240734</v>
      </c>
      <c r="T31" s="4">
        <f t="shared" si="3"/>
        <v>0.84535153232037086</v>
      </c>
    </row>
    <row r="32" spans="2:20" x14ac:dyDescent="0.25">
      <c r="B32" t="s">
        <v>298</v>
      </c>
      <c r="C32" s="6">
        <v>15165</v>
      </c>
      <c r="D32" s="6">
        <v>12473</v>
      </c>
      <c r="E32" s="6">
        <v>7231</v>
      </c>
      <c r="F32" s="6">
        <v>2303</v>
      </c>
      <c r="G32" s="6">
        <v>1813</v>
      </c>
      <c r="H32" s="6">
        <v>4588</v>
      </c>
      <c r="I32" s="6">
        <v>3718</v>
      </c>
      <c r="J32" s="6">
        <v>8275</v>
      </c>
      <c r="K32" s="6">
        <v>6941</v>
      </c>
      <c r="L32" s="6">
        <v>730</v>
      </c>
      <c r="M32" s="6">
        <v>386</v>
      </c>
      <c r="N32" s="4">
        <f t="shared" si="0"/>
        <v>0.82248598747115065</v>
      </c>
      <c r="O32" s="33">
        <f t="shared" si="4"/>
        <v>-0.89352766866863664</v>
      </c>
      <c r="P32" s="4">
        <f t="shared" si="5"/>
        <v>0.10814760686883451</v>
      </c>
      <c r="Q32" s="4">
        <f t="shared" si="6"/>
        <v>9.6238354719634378E-2</v>
      </c>
      <c r="R32" s="4">
        <f t="shared" si="1"/>
        <v>0.78723404255319152</v>
      </c>
      <c r="S32" s="4">
        <f t="shared" si="2"/>
        <v>0.81037489102005233</v>
      </c>
      <c r="T32" s="4">
        <f t="shared" si="3"/>
        <v>0.83879154078549845</v>
      </c>
    </row>
    <row r="33" spans="2:20" x14ac:dyDescent="0.25">
      <c r="B33" t="s">
        <v>299</v>
      </c>
      <c r="C33" s="6">
        <v>14959</v>
      </c>
      <c r="D33" s="6">
        <v>12089</v>
      </c>
      <c r="E33" s="6">
        <v>6957</v>
      </c>
      <c r="F33" s="6">
        <v>2242</v>
      </c>
      <c r="G33" s="6">
        <v>1764</v>
      </c>
      <c r="H33" s="6">
        <v>4549</v>
      </c>
      <c r="I33" s="6">
        <v>3670</v>
      </c>
      <c r="J33" s="6">
        <v>8169</v>
      </c>
      <c r="K33" s="6">
        <v>6655</v>
      </c>
      <c r="L33" s="6">
        <v>698</v>
      </c>
      <c r="M33" s="6">
        <v>367</v>
      </c>
      <c r="N33" s="4">
        <f t="shared" si="0"/>
        <v>0.80814225549836216</v>
      </c>
      <c r="O33" s="33">
        <f t="shared" si="4"/>
        <v>-2.9992667987520427</v>
      </c>
      <c r="P33" s="4">
        <f t="shared" si="5"/>
        <v>7.4718011351390112E-2</v>
      </c>
      <c r="Q33" s="4">
        <f t="shared" si="6"/>
        <v>3.6259214812274898E-2</v>
      </c>
      <c r="R33" s="4">
        <f t="shared" si="1"/>
        <v>0.78679750223015166</v>
      </c>
      <c r="S33" s="4">
        <f t="shared" si="2"/>
        <v>0.80677071883930529</v>
      </c>
      <c r="T33" s="4">
        <f t="shared" si="3"/>
        <v>0.81466519769861667</v>
      </c>
    </row>
    <row r="34" spans="2:20" x14ac:dyDescent="0.25">
      <c r="B34" t="s">
        <v>300</v>
      </c>
      <c r="C34" s="6">
        <v>16480</v>
      </c>
      <c r="D34" s="6">
        <v>13937</v>
      </c>
      <c r="E34" s="6">
        <v>8062</v>
      </c>
      <c r="F34" s="6">
        <v>2373</v>
      </c>
      <c r="G34" s="6">
        <v>1983</v>
      </c>
      <c r="H34" s="6">
        <v>5028</v>
      </c>
      <c r="I34" s="6">
        <v>4274</v>
      </c>
      <c r="J34" s="6">
        <v>9079</v>
      </c>
      <c r="K34" s="6">
        <v>7680</v>
      </c>
      <c r="L34" s="6">
        <v>736</v>
      </c>
      <c r="M34" s="6">
        <v>381</v>
      </c>
      <c r="N34" s="4">
        <f t="shared" si="0"/>
        <v>0.84569174757281551</v>
      </c>
      <c r="O34" s="33">
        <f t="shared" si="4"/>
        <v>-2.1237644873818295</v>
      </c>
      <c r="P34" s="4">
        <f t="shared" si="5"/>
        <v>8.2430213464696145E-2</v>
      </c>
      <c r="Q34" s="4">
        <f t="shared" si="6"/>
        <v>5.5913326767179417E-2</v>
      </c>
      <c r="R34" s="4">
        <f t="shared" si="1"/>
        <v>0.83565107458912768</v>
      </c>
      <c r="S34" s="4">
        <f t="shared" si="2"/>
        <v>0.85003977724741453</v>
      </c>
      <c r="T34" s="4">
        <f t="shared" si="3"/>
        <v>0.84590813966295852</v>
      </c>
    </row>
    <row r="35" spans="2:20" x14ac:dyDescent="0.25">
      <c r="B35" t="s">
        <v>301</v>
      </c>
      <c r="C35" s="6">
        <v>15989</v>
      </c>
      <c r="D35" s="6">
        <v>13353</v>
      </c>
      <c r="E35" s="6">
        <v>7893</v>
      </c>
      <c r="F35" s="6">
        <v>2365</v>
      </c>
      <c r="G35" s="6">
        <v>1959</v>
      </c>
      <c r="H35" s="6">
        <v>4905</v>
      </c>
      <c r="I35" s="6">
        <v>4095</v>
      </c>
      <c r="J35" s="6">
        <v>8719</v>
      </c>
      <c r="K35" s="6">
        <v>7299</v>
      </c>
      <c r="L35" s="6">
        <v>734</v>
      </c>
      <c r="M35" s="6">
        <v>395</v>
      </c>
      <c r="N35" s="4">
        <f t="shared" si="0"/>
        <v>0.8351366564513103</v>
      </c>
      <c r="O35" s="33">
        <f t="shared" si="4"/>
        <v>-1.836354432502485</v>
      </c>
      <c r="P35" s="4">
        <f t="shared" si="5"/>
        <v>7.0070940971757478E-2</v>
      </c>
      <c r="Q35" s="4">
        <f t="shared" si="6"/>
        <v>4.7047753469771747E-2</v>
      </c>
      <c r="R35" s="4">
        <f t="shared" si="1"/>
        <v>0.82832980972515857</v>
      </c>
      <c r="S35" s="4">
        <f t="shared" si="2"/>
        <v>0.83486238532110091</v>
      </c>
      <c r="T35" s="4">
        <f t="shared" si="3"/>
        <v>0.83713728638605345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2"/>
  <sheetViews>
    <sheetView workbookViewId="0"/>
  </sheetViews>
  <sheetFormatPr defaultRowHeight="15" x14ac:dyDescent="0.25"/>
  <cols>
    <col min="1" max="1" width="2" customWidth="1"/>
    <col min="2" max="2" width="12" customWidth="1"/>
    <col min="3" max="4" width="18" customWidth="1"/>
    <col min="5" max="5" width="14" customWidth="1"/>
    <col min="6" max="6" width="20" customWidth="1"/>
  </cols>
  <sheetData>
    <row r="1" spans="1:5" ht="17.25" x14ac:dyDescent="0.3">
      <c r="A1" s="9" t="s">
        <v>302</v>
      </c>
    </row>
    <row r="2" spans="1:5" x14ac:dyDescent="0.25">
      <c r="A2" t="s">
        <v>303</v>
      </c>
    </row>
    <row r="4" spans="1:5" x14ac:dyDescent="0.25">
      <c r="B4" s="2" t="s">
        <v>252</v>
      </c>
      <c r="C4" s="2" t="s">
        <v>304</v>
      </c>
      <c r="D4" s="2" t="s">
        <v>305</v>
      </c>
      <c r="E4" s="2" t="s">
        <v>306</v>
      </c>
    </row>
    <row r="5" spans="1:5" x14ac:dyDescent="0.25">
      <c r="B5" t="s">
        <v>307</v>
      </c>
      <c r="C5" s="15">
        <v>121.01</v>
      </c>
      <c r="D5" s="15">
        <v>90.6</v>
      </c>
      <c r="E5" s="15">
        <f t="shared" ref="E5:E40" si="0">C5-D5</f>
        <v>30.410000000000011</v>
      </c>
    </row>
    <row r="6" spans="1:5" x14ac:dyDescent="0.25">
      <c r="B6" t="s">
        <v>308</v>
      </c>
      <c r="C6" s="15">
        <v>114.84</v>
      </c>
      <c r="D6" s="15">
        <v>82.94</v>
      </c>
      <c r="E6" s="15">
        <f t="shared" si="0"/>
        <v>31.900000000000006</v>
      </c>
    </row>
    <row r="7" spans="1:5" x14ac:dyDescent="0.25">
      <c r="B7" t="s">
        <v>309</v>
      </c>
      <c r="C7" s="15">
        <v>100.24</v>
      </c>
      <c r="D7" s="15">
        <v>77.63</v>
      </c>
      <c r="E7" s="15">
        <f t="shared" si="0"/>
        <v>22.61</v>
      </c>
    </row>
    <row r="8" spans="1:5" x14ac:dyDescent="0.25">
      <c r="B8" t="s">
        <v>270</v>
      </c>
      <c r="C8" s="15">
        <v>108.58</v>
      </c>
      <c r="D8" s="15">
        <v>80.12</v>
      </c>
      <c r="E8" s="15">
        <f t="shared" si="0"/>
        <v>28.459999999999994</v>
      </c>
    </row>
    <row r="9" spans="1:5" x14ac:dyDescent="0.25">
      <c r="B9" t="s">
        <v>271</v>
      </c>
      <c r="C9" s="15">
        <v>112.69</v>
      </c>
      <c r="D9" s="15">
        <v>83.48</v>
      </c>
      <c r="E9" s="15">
        <f t="shared" si="0"/>
        <v>29.209999999999994</v>
      </c>
    </row>
    <row r="10" spans="1:5" x14ac:dyDescent="0.25">
      <c r="B10" t="s">
        <v>272</v>
      </c>
      <c r="C10" s="15">
        <v>108.92</v>
      </c>
      <c r="D10" s="15">
        <v>85.41</v>
      </c>
      <c r="E10" s="15">
        <f t="shared" si="0"/>
        <v>23.510000000000005</v>
      </c>
    </row>
    <row r="11" spans="1:5" x14ac:dyDescent="0.25">
      <c r="B11" t="s">
        <v>273</v>
      </c>
      <c r="C11" s="15">
        <v>109.41</v>
      </c>
      <c r="D11" s="15">
        <v>89.94</v>
      </c>
      <c r="E11" s="15">
        <f t="shared" si="0"/>
        <v>19.47</v>
      </c>
    </row>
    <row r="12" spans="1:5" x14ac:dyDescent="0.25">
      <c r="B12" t="s">
        <v>274</v>
      </c>
      <c r="C12" s="15">
        <v>99.97</v>
      </c>
      <c r="D12" s="15">
        <v>81.75</v>
      </c>
      <c r="E12" s="15">
        <f t="shared" si="0"/>
        <v>18.22</v>
      </c>
    </row>
    <row r="13" spans="1:5" x14ac:dyDescent="0.25">
      <c r="B13" t="s">
        <v>275</v>
      </c>
      <c r="C13" s="15">
        <v>100.53</v>
      </c>
      <c r="D13" s="15">
        <v>82.25</v>
      </c>
      <c r="E13" s="15">
        <f t="shared" si="0"/>
        <v>18.28</v>
      </c>
    </row>
    <row r="14" spans="1:5" x14ac:dyDescent="0.25">
      <c r="B14" t="s">
        <v>276</v>
      </c>
      <c r="C14" s="15">
        <v>101.61</v>
      </c>
      <c r="D14" s="15">
        <v>85.15</v>
      </c>
      <c r="E14" s="15">
        <f t="shared" si="0"/>
        <v>16.459999999999994</v>
      </c>
    </row>
    <row r="15" spans="1:5" x14ac:dyDescent="0.25">
      <c r="B15" t="s">
        <v>277</v>
      </c>
      <c r="C15" s="15">
        <v>91.39</v>
      </c>
      <c r="D15" s="15">
        <v>80.36</v>
      </c>
      <c r="E15" s="15">
        <f t="shared" si="0"/>
        <v>11.030000000000001</v>
      </c>
    </row>
    <row r="16" spans="1:5" x14ac:dyDescent="0.25">
      <c r="B16" t="s">
        <v>278</v>
      </c>
      <c r="C16" s="15">
        <v>83.23</v>
      </c>
      <c r="D16" s="15">
        <v>74.02</v>
      </c>
      <c r="E16" s="15">
        <f t="shared" si="0"/>
        <v>9.210000000000008</v>
      </c>
    </row>
    <row r="17" spans="2:5" x14ac:dyDescent="0.25">
      <c r="B17" t="s">
        <v>279</v>
      </c>
      <c r="C17" s="15">
        <v>86.84</v>
      </c>
      <c r="D17" s="15">
        <v>75.63</v>
      </c>
      <c r="E17" s="15">
        <f t="shared" si="0"/>
        <v>11.210000000000008</v>
      </c>
    </row>
    <row r="18" spans="2:5" x14ac:dyDescent="0.25">
      <c r="B18" t="s">
        <v>280</v>
      </c>
      <c r="C18" s="15">
        <v>86.73</v>
      </c>
      <c r="D18" s="15">
        <v>74.349999999999994</v>
      </c>
      <c r="E18" s="15">
        <f t="shared" si="0"/>
        <v>12.38000000000001</v>
      </c>
    </row>
    <row r="19" spans="2:5" x14ac:dyDescent="0.25">
      <c r="B19" t="s">
        <v>281</v>
      </c>
      <c r="C19" s="15">
        <v>88.07</v>
      </c>
      <c r="D19" s="15">
        <v>73.86</v>
      </c>
      <c r="E19" s="15">
        <f t="shared" si="0"/>
        <v>14.209999999999994</v>
      </c>
    </row>
    <row r="20" spans="2:5" x14ac:dyDescent="0.25">
      <c r="B20" t="s">
        <v>282</v>
      </c>
      <c r="C20" s="15">
        <v>98.56</v>
      </c>
      <c r="D20" s="15">
        <v>79.27</v>
      </c>
      <c r="E20" s="15">
        <f t="shared" si="0"/>
        <v>19.290000000000006</v>
      </c>
    </row>
    <row r="21" spans="2:5" x14ac:dyDescent="0.25">
      <c r="B21" t="s">
        <v>283</v>
      </c>
      <c r="C21" s="15">
        <v>95.09</v>
      </c>
      <c r="D21" s="15">
        <v>75.44</v>
      </c>
      <c r="E21" s="15">
        <f t="shared" si="0"/>
        <v>19.650000000000006</v>
      </c>
    </row>
    <row r="22" spans="2:5" x14ac:dyDescent="0.25">
      <c r="B22" t="s">
        <v>284</v>
      </c>
      <c r="C22" s="15">
        <v>86.88</v>
      </c>
      <c r="D22" s="15">
        <v>72.73</v>
      </c>
      <c r="E22" s="15">
        <f t="shared" si="0"/>
        <v>14.149999999999991</v>
      </c>
    </row>
    <row r="23" spans="2:5" x14ac:dyDescent="0.25">
      <c r="B23" t="s">
        <v>285</v>
      </c>
      <c r="C23" s="15">
        <v>82.98</v>
      </c>
      <c r="D23" s="15">
        <v>68.13</v>
      </c>
      <c r="E23" s="15">
        <f t="shared" si="0"/>
        <v>14.850000000000009</v>
      </c>
    </row>
    <row r="24" spans="2:5" x14ac:dyDescent="0.25">
      <c r="B24" t="s">
        <v>286</v>
      </c>
      <c r="C24" s="15">
        <v>80.989999999999995</v>
      </c>
      <c r="D24" s="15">
        <v>64.45</v>
      </c>
      <c r="E24" s="15">
        <f t="shared" si="0"/>
        <v>16.539999999999992</v>
      </c>
    </row>
    <row r="25" spans="2:5" x14ac:dyDescent="0.25">
      <c r="B25" t="s">
        <v>287</v>
      </c>
      <c r="C25" s="15">
        <v>87.94</v>
      </c>
      <c r="D25" s="15">
        <v>71.44</v>
      </c>
      <c r="E25" s="15">
        <f t="shared" si="0"/>
        <v>16.5</v>
      </c>
    </row>
    <row r="26" spans="2:5" x14ac:dyDescent="0.25">
      <c r="B26" t="s">
        <v>288</v>
      </c>
      <c r="C26" s="15">
        <v>94.26</v>
      </c>
      <c r="D26" s="15">
        <v>71.040000000000006</v>
      </c>
      <c r="E26" s="15">
        <f t="shared" si="0"/>
        <v>23.22</v>
      </c>
    </row>
    <row r="27" spans="2:5" x14ac:dyDescent="0.25">
      <c r="B27" t="s">
        <v>289</v>
      </c>
      <c r="C27" s="15">
        <v>85.01</v>
      </c>
      <c r="D27" s="15">
        <v>67.87</v>
      </c>
      <c r="E27" s="15">
        <f t="shared" si="0"/>
        <v>17.14</v>
      </c>
    </row>
    <row r="28" spans="2:5" x14ac:dyDescent="0.25">
      <c r="B28" t="s">
        <v>290</v>
      </c>
      <c r="C28" s="15">
        <v>87.75</v>
      </c>
      <c r="D28" s="15">
        <v>67.989999999999995</v>
      </c>
      <c r="E28" s="15">
        <f t="shared" si="0"/>
        <v>19.760000000000005</v>
      </c>
    </row>
    <row r="29" spans="2:5" x14ac:dyDescent="0.25">
      <c r="B29" t="s">
        <v>291</v>
      </c>
      <c r="C29" s="15">
        <v>90.48</v>
      </c>
      <c r="D29" s="15">
        <v>64.540000000000006</v>
      </c>
      <c r="E29" s="15">
        <f t="shared" si="0"/>
        <v>25.939999999999998</v>
      </c>
    </row>
    <row r="30" spans="2:5" x14ac:dyDescent="0.25">
      <c r="B30" t="s">
        <v>292</v>
      </c>
      <c r="C30" s="15">
        <v>94.84</v>
      </c>
      <c r="D30" s="15">
        <v>63.8</v>
      </c>
      <c r="E30" s="15">
        <f t="shared" si="0"/>
        <v>31.040000000000006</v>
      </c>
    </row>
    <row r="31" spans="2:5" x14ac:dyDescent="0.25">
      <c r="B31" t="s">
        <v>293</v>
      </c>
      <c r="C31" s="15">
        <v>82.53</v>
      </c>
      <c r="D31" s="15">
        <v>62.54</v>
      </c>
      <c r="E31" s="15">
        <f t="shared" si="0"/>
        <v>19.990000000000002</v>
      </c>
    </row>
    <row r="32" spans="2:5" x14ac:dyDescent="0.25">
      <c r="B32" t="s">
        <v>294</v>
      </c>
      <c r="C32" s="15">
        <v>85.3</v>
      </c>
      <c r="D32" s="15">
        <v>66.599999999999994</v>
      </c>
      <c r="E32" s="15">
        <f t="shared" si="0"/>
        <v>18.700000000000003</v>
      </c>
    </row>
    <row r="33" spans="2:5" x14ac:dyDescent="0.25">
      <c r="B33" t="s">
        <v>295</v>
      </c>
      <c r="C33" s="15">
        <v>95.02</v>
      </c>
      <c r="D33" s="15">
        <v>70.89</v>
      </c>
      <c r="E33" s="15">
        <f t="shared" si="0"/>
        <v>24.129999999999995</v>
      </c>
    </row>
    <row r="34" spans="2:5" x14ac:dyDescent="0.25">
      <c r="B34" t="s">
        <v>296</v>
      </c>
      <c r="C34" s="15">
        <v>155.29</v>
      </c>
      <c r="D34" s="15">
        <v>103.13</v>
      </c>
      <c r="E34" s="15">
        <f t="shared" si="0"/>
        <v>52.16</v>
      </c>
    </row>
    <row r="35" spans="2:5" x14ac:dyDescent="0.25">
      <c r="B35" t="s">
        <v>297</v>
      </c>
      <c r="C35" s="15">
        <v>164.99</v>
      </c>
      <c r="D35" s="15">
        <v>117.29</v>
      </c>
      <c r="E35" s="15">
        <f t="shared" si="0"/>
        <v>47.7</v>
      </c>
    </row>
    <row r="36" spans="2:5" x14ac:dyDescent="0.25">
      <c r="B36" t="s">
        <v>298</v>
      </c>
      <c r="C36" s="15">
        <v>165.59</v>
      </c>
      <c r="D36" s="15">
        <v>107.14</v>
      </c>
      <c r="E36" s="15">
        <f t="shared" si="0"/>
        <v>58.45</v>
      </c>
    </row>
    <row r="37" spans="2:5" x14ac:dyDescent="0.25">
      <c r="B37" t="s">
        <v>299</v>
      </c>
      <c r="C37" s="15">
        <v>127.75</v>
      </c>
      <c r="D37" s="15">
        <v>85.4</v>
      </c>
      <c r="E37" s="15">
        <f t="shared" si="0"/>
        <v>42.349999999999994</v>
      </c>
    </row>
    <row r="38" spans="2:5" x14ac:dyDescent="0.25">
      <c r="B38" t="s">
        <v>300</v>
      </c>
      <c r="C38" s="15">
        <v>142.93</v>
      </c>
      <c r="D38" s="15">
        <v>83.76</v>
      </c>
      <c r="E38" s="15">
        <f t="shared" si="0"/>
        <v>59.17</v>
      </c>
    </row>
    <row r="39" spans="2:5" x14ac:dyDescent="0.25">
      <c r="B39" t="s">
        <v>301</v>
      </c>
      <c r="C39" s="15">
        <v>156.41</v>
      </c>
      <c r="D39" s="15">
        <v>91.08</v>
      </c>
      <c r="E39" s="15">
        <f t="shared" si="0"/>
        <v>65.33</v>
      </c>
    </row>
    <row r="40" spans="2:5" x14ac:dyDescent="0.25">
      <c r="B40" t="s">
        <v>310</v>
      </c>
      <c r="C40" s="15">
        <v>184.04</v>
      </c>
      <c r="D40" s="15">
        <v>112.96</v>
      </c>
      <c r="E40" s="15">
        <f t="shared" si="0"/>
        <v>71.08</v>
      </c>
    </row>
    <row r="41" spans="2:5" x14ac:dyDescent="0.25">
      <c r="B41" s="29" t="s">
        <v>311</v>
      </c>
    </row>
    <row r="43" spans="2:5" x14ac:dyDescent="0.25">
      <c r="B43" s="10" t="s">
        <v>312</v>
      </c>
    </row>
    <row r="44" spans="2:5" x14ac:dyDescent="0.25">
      <c r="B44" t="s">
        <v>313</v>
      </c>
      <c r="C44" s="15">
        <v>182.9</v>
      </c>
    </row>
    <row r="45" spans="2:5" x14ac:dyDescent="0.25">
      <c r="B45" t="s">
        <v>314</v>
      </c>
      <c r="C45" s="15">
        <v>174.9</v>
      </c>
    </row>
    <row r="46" spans="2:5" x14ac:dyDescent="0.25">
      <c r="B46" t="s">
        <v>315</v>
      </c>
      <c r="C46" s="15">
        <v>171.3</v>
      </c>
    </row>
    <row r="47" spans="2:5" x14ac:dyDescent="0.25">
      <c r="B47" t="s">
        <v>316</v>
      </c>
      <c r="C47" s="15">
        <v>168.8</v>
      </c>
    </row>
    <row r="48" spans="2:5" x14ac:dyDescent="0.25">
      <c r="B48" t="s">
        <v>317</v>
      </c>
      <c r="C48" s="15">
        <v>163.9</v>
      </c>
    </row>
    <row r="49" spans="2:6" x14ac:dyDescent="0.25">
      <c r="B49" t="s">
        <v>318</v>
      </c>
      <c r="C49" s="15">
        <v>159.1</v>
      </c>
    </row>
    <row r="50" spans="2:6" x14ac:dyDescent="0.25">
      <c r="B50" t="s">
        <v>319</v>
      </c>
      <c r="C50" s="15">
        <v>153.69999999999999</v>
      </c>
    </row>
    <row r="51" spans="2:6" x14ac:dyDescent="0.25">
      <c r="B51" t="s">
        <v>320</v>
      </c>
      <c r="C51" s="15">
        <v>148.19999999999999</v>
      </c>
    </row>
    <row r="52" spans="2:6" x14ac:dyDescent="0.25">
      <c r="B52" t="s">
        <v>321</v>
      </c>
      <c r="C52" s="15">
        <v>142.80000000000001</v>
      </c>
    </row>
    <row r="53" spans="2:6" x14ac:dyDescent="0.25">
      <c r="B53" t="s">
        <v>322</v>
      </c>
      <c r="C53" s="15">
        <v>140.4</v>
      </c>
    </row>
    <row r="54" spans="2:6" x14ac:dyDescent="0.25">
      <c r="B54" t="s">
        <v>323</v>
      </c>
      <c r="C54" s="15">
        <v>138.1</v>
      </c>
    </row>
    <row r="55" spans="2:6" x14ac:dyDescent="0.25">
      <c r="B55" t="s">
        <v>324</v>
      </c>
      <c r="C55" s="15">
        <v>135.80000000000001</v>
      </c>
    </row>
    <row r="56" spans="2:6" x14ac:dyDescent="0.25">
      <c r="B56" t="s">
        <v>325</v>
      </c>
      <c r="C56" s="15">
        <v>132.69999999999999</v>
      </c>
    </row>
    <row r="57" spans="2:6" x14ac:dyDescent="0.25">
      <c r="B57" t="s">
        <v>326</v>
      </c>
      <c r="C57" s="15">
        <v>129.69999999999999</v>
      </c>
    </row>
    <row r="58" spans="2:6" x14ac:dyDescent="0.25">
      <c r="B58" t="s">
        <v>327</v>
      </c>
      <c r="C58" s="15">
        <v>126.7</v>
      </c>
    </row>
    <row r="60" spans="2:6" x14ac:dyDescent="0.25">
      <c r="B60" s="10" t="s">
        <v>328</v>
      </c>
    </row>
    <row r="61" spans="2:6" x14ac:dyDescent="0.25">
      <c r="B61" s="2" t="s">
        <v>329</v>
      </c>
      <c r="C61" s="2" t="s">
        <v>330</v>
      </c>
      <c r="D61" s="2" t="s">
        <v>331</v>
      </c>
      <c r="E61" s="2" t="s">
        <v>332</v>
      </c>
      <c r="F61" s="2" t="s">
        <v>333</v>
      </c>
    </row>
    <row r="62" spans="2:6" x14ac:dyDescent="0.25">
      <c r="B62" t="s">
        <v>334</v>
      </c>
      <c r="C62" s="15">
        <v>129.98086404833839</v>
      </c>
      <c r="D62" s="15">
        <v>107.17</v>
      </c>
      <c r="E62" s="15">
        <f t="shared" ref="E62:E71" si="1">C62-D62</f>
        <v>22.810864048338388</v>
      </c>
      <c r="F62" s="15">
        <f t="shared" ref="F62:F71" si="2">D62*(1+0.128)+11.2</f>
        <v>132.08776</v>
      </c>
    </row>
    <row r="63" spans="2:6" x14ac:dyDescent="0.25">
      <c r="B63" t="s">
        <v>335</v>
      </c>
      <c r="C63" s="15">
        <v>127.4710275229358</v>
      </c>
      <c r="D63" s="15">
        <v>106.1</v>
      </c>
      <c r="E63" s="15">
        <f t="shared" si="1"/>
        <v>21.371027522935805</v>
      </c>
      <c r="F63" s="15">
        <f t="shared" si="2"/>
        <v>130.88079999999999</v>
      </c>
    </row>
    <row r="64" spans="2:6" x14ac:dyDescent="0.25">
      <c r="B64" t="s">
        <v>336</v>
      </c>
      <c r="C64" s="15">
        <v>123.8405706051873</v>
      </c>
      <c r="D64" s="15">
        <v>97.84333333333332</v>
      </c>
      <c r="E64" s="15">
        <f t="shared" si="1"/>
        <v>25.997237271853976</v>
      </c>
      <c r="F64" s="15">
        <f t="shared" si="2"/>
        <v>121.56728</v>
      </c>
    </row>
    <row r="65" spans="2:6" x14ac:dyDescent="0.25">
      <c r="B65" t="s">
        <v>337</v>
      </c>
      <c r="C65" s="15">
        <v>110.3500169491525</v>
      </c>
      <c r="D65" s="15">
        <v>85.600000000000009</v>
      </c>
      <c r="E65" s="15">
        <f t="shared" si="1"/>
        <v>24.750016949152496</v>
      </c>
      <c r="F65" s="15">
        <f t="shared" si="2"/>
        <v>107.75680000000003</v>
      </c>
    </row>
    <row r="66" spans="2:6" x14ac:dyDescent="0.25">
      <c r="B66" t="s">
        <v>338</v>
      </c>
      <c r="C66" s="15">
        <v>117.5472586206896</v>
      </c>
      <c r="D66" s="15">
        <v>93.90666666666668</v>
      </c>
      <c r="E66" s="15">
        <f t="shared" si="1"/>
        <v>23.640591954022923</v>
      </c>
      <c r="F66" s="15">
        <f t="shared" si="2"/>
        <v>117.12672000000003</v>
      </c>
    </row>
    <row r="67" spans="2:6" x14ac:dyDescent="0.25">
      <c r="B67" t="s">
        <v>339</v>
      </c>
      <c r="C67" s="15">
        <v>107.29155252128071</v>
      </c>
      <c r="D67" s="15">
        <v>83.61666666666666</v>
      </c>
      <c r="E67" s="15">
        <f t="shared" si="1"/>
        <v>23.674885854614047</v>
      </c>
      <c r="F67" s="15">
        <f t="shared" si="2"/>
        <v>105.51960000000001</v>
      </c>
    </row>
    <row r="68" spans="2:6" x14ac:dyDescent="0.25">
      <c r="B68" t="s">
        <v>340</v>
      </c>
      <c r="C68" s="15">
        <v>109.79471197776959</v>
      </c>
      <c r="D68" s="15">
        <v>89.070000000000007</v>
      </c>
      <c r="E68" s="15">
        <f t="shared" si="1"/>
        <v>20.724711977769587</v>
      </c>
      <c r="F68" s="15">
        <f t="shared" si="2"/>
        <v>111.67096000000002</v>
      </c>
    </row>
    <row r="69" spans="2:6" x14ac:dyDescent="0.25">
      <c r="B69" t="s">
        <v>341</v>
      </c>
      <c r="C69" s="15">
        <v>108.2062625193193</v>
      </c>
      <c r="D69" s="15">
        <v>91.023333333333326</v>
      </c>
      <c r="E69" s="15">
        <f t="shared" si="1"/>
        <v>17.182929185985969</v>
      </c>
      <c r="F69" s="15">
        <f t="shared" si="2"/>
        <v>113.87432000000001</v>
      </c>
    </row>
    <row r="70" spans="2:6" x14ac:dyDescent="0.25">
      <c r="B70" t="s">
        <v>342</v>
      </c>
      <c r="C70" s="15">
        <v>113.7034203855081</v>
      </c>
      <c r="D70" s="15">
        <v>87.616666666666674</v>
      </c>
      <c r="E70" s="15">
        <f t="shared" si="1"/>
        <v>26.086753718841422</v>
      </c>
      <c r="F70" s="15">
        <f t="shared" si="2"/>
        <v>110.03160000000003</v>
      </c>
    </row>
    <row r="71" spans="2:6" x14ac:dyDescent="0.25">
      <c r="B71" t="s">
        <v>343</v>
      </c>
      <c r="C71" s="15">
        <v>193.9220487573543</v>
      </c>
      <c r="D71" s="15">
        <v>161.95666666666671</v>
      </c>
      <c r="E71" s="15">
        <f t="shared" si="1"/>
        <v>31.965382090687598</v>
      </c>
      <c r="F71" s="15">
        <f t="shared" si="2"/>
        <v>193.88712000000004</v>
      </c>
    </row>
    <row r="72" spans="2:6" x14ac:dyDescent="0.25">
      <c r="B72" s="29" t="s">
        <v>344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2" customWidth="1"/>
    <col min="2" max="2" width="44" customWidth="1"/>
    <col min="3" max="16" width="11" customWidth="1"/>
  </cols>
  <sheetData>
    <row r="1" spans="1:16" ht="17.25" x14ac:dyDescent="0.3">
      <c r="A1" s="9" t="s">
        <v>345</v>
      </c>
    </row>
    <row r="2" spans="1:16" x14ac:dyDescent="0.25">
      <c r="A2" t="s">
        <v>346</v>
      </c>
    </row>
    <row r="4" spans="1:16" x14ac:dyDescent="0.25">
      <c r="C4" s="2" t="s">
        <v>347</v>
      </c>
      <c r="D4" s="2" t="s">
        <v>348</v>
      </c>
      <c r="E4" s="2" t="s">
        <v>349</v>
      </c>
      <c r="F4" s="2" t="s">
        <v>350</v>
      </c>
      <c r="G4" s="2" t="s">
        <v>351</v>
      </c>
      <c r="H4" s="2" t="s">
        <v>352</v>
      </c>
      <c r="I4" s="2" t="s">
        <v>353</v>
      </c>
      <c r="J4" s="2" t="s">
        <v>354</v>
      </c>
      <c r="K4" s="2" t="s">
        <v>355</v>
      </c>
      <c r="L4" s="2" t="s">
        <v>356</v>
      </c>
      <c r="M4" s="2" t="s">
        <v>357</v>
      </c>
      <c r="N4" s="2" t="s">
        <v>358</v>
      </c>
      <c r="O4" s="2" t="s">
        <v>359</v>
      </c>
      <c r="P4" s="2" t="s">
        <v>360</v>
      </c>
    </row>
    <row r="5" spans="1:16" x14ac:dyDescent="0.25">
      <c r="B5" t="s">
        <v>103</v>
      </c>
      <c r="C5" s="6">
        <v>32737</v>
      </c>
      <c r="D5" s="6">
        <v>32477</v>
      </c>
      <c r="E5" s="6">
        <v>35357</v>
      </c>
      <c r="F5" s="6">
        <v>36680</v>
      </c>
      <c r="G5" s="6">
        <v>38461</v>
      </c>
      <c r="H5" s="6">
        <v>37737</v>
      </c>
      <c r="I5" s="6">
        <v>40711</v>
      </c>
      <c r="J5" s="6">
        <v>41022</v>
      </c>
      <c r="K5" s="6">
        <v>41257</v>
      </c>
      <c r="L5" s="6">
        <v>40863.186395999997</v>
      </c>
      <c r="M5" s="6">
        <v>44517</v>
      </c>
      <c r="N5" s="6">
        <v>44175</v>
      </c>
      <c r="O5" s="6">
        <v>45539</v>
      </c>
      <c r="P5" s="6">
        <v>44489</v>
      </c>
    </row>
    <row r="6" spans="1:16" x14ac:dyDescent="0.25">
      <c r="B6" t="s">
        <v>253</v>
      </c>
      <c r="C6" s="6">
        <v>26530</v>
      </c>
      <c r="D6" s="6">
        <v>26107</v>
      </c>
      <c r="E6" s="6">
        <v>30170.839596999998</v>
      </c>
      <c r="F6" s="6">
        <v>31199</v>
      </c>
      <c r="G6" s="6">
        <v>32458</v>
      </c>
      <c r="H6" s="6">
        <v>31028</v>
      </c>
      <c r="I6" s="6">
        <v>34570</v>
      </c>
      <c r="J6" s="6">
        <v>35082</v>
      </c>
      <c r="K6" s="6">
        <v>34383</v>
      </c>
      <c r="L6" s="6">
        <v>34102.583881999999</v>
      </c>
      <c r="M6" s="6">
        <v>38039</v>
      </c>
      <c r="N6" s="6">
        <v>37585</v>
      </c>
      <c r="O6" s="6">
        <v>38845</v>
      </c>
      <c r="P6" s="6">
        <v>36390</v>
      </c>
    </row>
    <row r="7" spans="1:16" x14ac:dyDescent="0.25">
      <c r="B7" t="s">
        <v>361</v>
      </c>
      <c r="C7" s="15">
        <v>284.98277127117001</v>
      </c>
      <c r="D7" s="15">
        <v>284.7</v>
      </c>
      <c r="E7" s="15">
        <v>306</v>
      </c>
      <c r="F7" s="15">
        <v>319.27</v>
      </c>
      <c r="G7" s="15">
        <v>331</v>
      </c>
      <c r="H7" s="15">
        <v>327</v>
      </c>
      <c r="I7" s="15">
        <v>347</v>
      </c>
      <c r="J7" s="15">
        <v>354</v>
      </c>
      <c r="K7" s="15">
        <v>348</v>
      </c>
      <c r="L7" s="15">
        <v>347.14499999999998</v>
      </c>
      <c r="M7" s="15">
        <v>373.18299999999999</v>
      </c>
      <c r="N7" s="15">
        <v>375.91899999999998</v>
      </c>
      <c r="O7" s="15">
        <v>383.02699999999999</v>
      </c>
      <c r="P7" s="15">
        <v>370.82693</v>
      </c>
    </row>
    <row r="8" spans="1:16" x14ac:dyDescent="0.25">
      <c r="B8" t="s">
        <v>362</v>
      </c>
      <c r="C8" s="6">
        <v>2805458</v>
      </c>
      <c r="D8" s="6">
        <v>2676063</v>
      </c>
      <c r="E8" s="6">
        <v>3056465</v>
      </c>
      <c r="F8" s="6">
        <v>3251195</v>
      </c>
      <c r="G8" s="6">
        <v>3321333</v>
      </c>
      <c r="H8" s="6">
        <v>3029918</v>
      </c>
      <c r="I8" s="6">
        <v>3287282</v>
      </c>
      <c r="J8" s="6">
        <v>3395180</v>
      </c>
      <c r="K8" s="6">
        <v>3410601</v>
      </c>
      <c r="L8" s="6">
        <v>3279042</v>
      </c>
      <c r="M8" s="6">
        <v>3856299</v>
      </c>
      <c r="N8" s="6">
        <v>3949048</v>
      </c>
      <c r="O8" s="6">
        <v>4150792</v>
      </c>
      <c r="P8" s="6">
        <v>4182638</v>
      </c>
    </row>
    <row r="9" spans="1:16" x14ac:dyDescent="0.25">
      <c r="B9" t="s">
        <v>363</v>
      </c>
      <c r="C9" s="6">
        <v>2394352</v>
      </c>
      <c r="D9" s="6">
        <v>2277553</v>
      </c>
      <c r="E9" s="6">
        <v>2695572</v>
      </c>
      <c r="F9" s="6">
        <v>2847672</v>
      </c>
      <c r="G9" s="6">
        <v>2897842</v>
      </c>
      <c r="H9" s="6">
        <v>2603275</v>
      </c>
      <c r="I9" s="6">
        <v>2864715</v>
      </c>
      <c r="J9" s="6">
        <v>2867457</v>
      </c>
      <c r="K9" s="6">
        <v>2942889</v>
      </c>
      <c r="L9" s="6">
        <v>2824314</v>
      </c>
      <c r="M9" s="6">
        <v>3394451</v>
      </c>
      <c r="N9" s="6">
        <v>3449875</v>
      </c>
      <c r="O9" s="6">
        <v>3661203</v>
      </c>
      <c r="P9" s="6">
        <v>3613485</v>
      </c>
    </row>
    <row r="10" spans="1:16" x14ac:dyDescent="0.25">
      <c r="B10" t="s">
        <v>364</v>
      </c>
      <c r="C10" s="6">
        <v>377290</v>
      </c>
      <c r="D10" s="6">
        <v>355324</v>
      </c>
      <c r="E10" s="6">
        <v>328949</v>
      </c>
      <c r="F10" s="6">
        <v>363829</v>
      </c>
      <c r="G10" s="6">
        <v>369357</v>
      </c>
      <c r="H10" s="6">
        <v>380006</v>
      </c>
      <c r="I10" s="6">
        <v>380507</v>
      </c>
      <c r="J10" s="6">
        <v>469885</v>
      </c>
      <c r="K10" s="6">
        <v>405589</v>
      </c>
      <c r="L10" s="6">
        <v>418641</v>
      </c>
      <c r="M10" s="6">
        <v>404496</v>
      </c>
      <c r="N10" s="6">
        <v>424801</v>
      </c>
      <c r="O10" s="6">
        <v>419414</v>
      </c>
      <c r="P10" s="6">
        <v>510009</v>
      </c>
    </row>
    <row r="11" spans="1:16" x14ac:dyDescent="0.25">
      <c r="B11" t="s">
        <v>365</v>
      </c>
      <c r="C11" s="6">
        <v>1059759</v>
      </c>
      <c r="D11" s="6">
        <v>850523</v>
      </c>
      <c r="E11" s="6">
        <v>948301</v>
      </c>
      <c r="F11" s="6">
        <v>1088637</v>
      </c>
      <c r="G11" s="6">
        <v>1024373</v>
      </c>
      <c r="H11" s="6">
        <v>992453</v>
      </c>
      <c r="I11" s="6">
        <v>1023159</v>
      </c>
      <c r="J11" s="6">
        <v>930093</v>
      </c>
      <c r="K11" s="6">
        <v>973963</v>
      </c>
      <c r="L11" s="6">
        <v>886803</v>
      </c>
      <c r="M11" s="6">
        <v>975560</v>
      </c>
      <c r="N11" s="6">
        <v>968495</v>
      </c>
      <c r="O11" s="6">
        <v>1036940</v>
      </c>
      <c r="P11" s="6">
        <v>1712179</v>
      </c>
    </row>
    <row r="12" spans="1:16" x14ac:dyDescent="0.25">
      <c r="B12" t="s">
        <v>366</v>
      </c>
      <c r="C12" s="6">
        <v>2510383</v>
      </c>
      <c r="D12" s="6">
        <v>2404828</v>
      </c>
      <c r="E12" s="6">
        <v>2647334</v>
      </c>
      <c r="F12" s="6">
        <v>2898737</v>
      </c>
      <c r="G12" s="6">
        <v>2858628</v>
      </c>
      <c r="H12" s="6">
        <v>2756122</v>
      </c>
      <c r="I12" s="6">
        <v>2826856</v>
      </c>
      <c r="J12" s="6">
        <v>2931886</v>
      </c>
      <c r="K12" s="6">
        <v>2837370</v>
      </c>
      <c r="L12" s="6">
        <v>2856236</v>
      </c>
      <c r="M12" s="6">
        <v>3158518.2812999999</v>
      </c>
      <c r="N12" s="6">
        <v>3287914.9534489401</v>
      </c>
      <c r="O12" s="6">
        <v>3328269</v>
      </c>
      <c r="P12" s="6">
        <v>3955672.4037799998</v>
      </c>
    </row>
    <row r="13" spans="1:16" x14ac:dyDescent="0.25">
      <c r="B13" t="s">
        <v>367</v>
      </c>
      <c r="C13" s="6">
        <v>278054</v>
      </c>
      <c r="D13" s="6">
        <v>287405</v>
      </c>
      <c r="E13" s="6">
        <v>316961</v>
      </c>
      <c r="F13" s="6">
        <v>322953</v>
      </c>
      <c r="G13" s="6">
        <v>332822</v>
      </c>
      <c r="H13" s="6">
        <v>344789</v>
      </c>
      <c r="I13" s="6">
        <v>367426</v>
      </c>
      <c r="J13" s="6">
        <v>402620</v>
      </c>
      <c r="K13" s="6">
        <v>388902</v>
      </c>
      <c r="L13" s="6">
        <v>427252</v>
      </c>
      <c r="M13" s="6">
        <v>451876</v>
      </c>
      <c r="N13" s="6">
        <v>468068</v>
      </c>
      <c r="O13" s="6">
        <v>492256</v>
      </c>
      <c r="P13" s="6">
        <v>486059</v>
      </c>
    </row>
    <row r="14" spans="1:16" x14ac:dyDescent="0.25">
      <c r="B14" t="s">
        <v>368</v>
      </c>
      <c r="C14" s="6">
        <v>295075</v>
      </c>
      <c r="D14" s="6">
        <v>271235</v>
      </c>
      <c r="E14" s="6">
        <v>409131</v>
      </c>
      <c r="F14" s="6">
        <v>352458</v>
      </c>
      <c r="G14" s="6">
        <v>462705</v>
      </c>
      <c r="H14" s="6">
        <v>273796</v>
      </c>
      <c r="I14" s="6">
        <v>460426</v>
      </c>
      <c r="J14" s="6">
        <v>463294</v>
      </c>
      <c r="K14" s="6">
        <v>573231</v>
      </c>
      <c r="L14" s="6">
        <v>422806</v>
      </c>
      <c r="M14" s="6">
        <v>697780.71869999997</v>
      </c>
      <c r="N14" s="6">
        <v>661133.04655106005</v>
      </c>
      <c r="O14" s="6">
        <v>822523</v>
      </c>
      <c r="P14" s="6">
        <v>226965.59622000001</v>
      </c>
    </row>
    <row r="15" spans="1:16" x14ac:dyDescent="0.25">
      <c r="B15" t="s">
        <v>369</v>
      </c>
      <c r="C15" s="6">
        <v>573129</v>
      </c>
      <c r="D15" s="6">
        <v>558641</v>
      </c>
      <c r="E15" s="6">
        <v>726092</v>
      </c>
      <c r="F15" s="6">
        <v>675411</v>
      </c>
      <c r="G15" s="6">
        <v>795526</v>
      </c>
      <c r="H15" s="6">
        <v>618585</v>
      </c>
      <c r="I15" s="6">
        <v>827852</v>
      </c>
      <c r="J15" s="6">
        <v>865915</v>
      </c>
      <c r="K15" s="6">
        <v>962133</v>
      </c>
      <c r="L15" s="6">
        <v>850058</v>
      </c>
      <c r="M15" s="6">
        <v>1149657</v>
      </c>
      <c r="N15" s="6">
        <v>1129201.0465510599</v>
      </c>
      <c r="O15" s="6">
        <v>1314779</v>
      </c>
      <c r="P15" s="6">
        <v>713024.59621999995</v>
      </c>
    </row>
    <row r="16" spans="1:16" x14ac:dyDescent="0.25">
      <c r="B16" t="s">
        <v>370</v>
      </c>
      <c r="C16" s="6">
        <v>121801</v>
      </c>
      <c r="D16" s="6">
        <v>145251</v>
      </c>
      <c r="E16" s="6">
        <v>231820</v>
      </c>
      <c r="F16" s="6">
        <v>82960</v>
      </c>
      <c r="G16" s="6">
        <v>258278</v>
      </c>
      <c r="H16" s="6">
        <v>145546</v>
      </c>
      <c r="I16" s="6">
        <v>301208</v>
      </c>
      <c r="J16" s="6">
        <v>271938</v>
      </c>
      <c r="K16" s="6">
        <v>355288</v>
      </c>
      <c r="L16" s="6">
        <v>241569</v>
      </c>
      <c r="M16" s="6">
        <v>378838</v>
      </c>
      <c r="N16" s="6">
        <v>484289</v>
      </c>
      <c r="O16" s="6">
        <v>575989</v>
      </c>
      <c r="P16" s="6">
        <v>125219</v>
      </c>
    </row>
    <row r="18" spans="2:16" x14ac:dyDescent="0.25">
      <c r="B18" s="10" t="s">
        <v>371</v>
      </c>
    </row>
    <row r="19" spans="2:16" x14ac:dyDescent="0.25">
      <c r="B19" t="s">
        <v>372</v>
      </c>
      <c r="C19" s="4">
        <f t="shared" ref="C19:P19" si="0">C6/C5</f>
        <v>0.81039802058832511</v>
      </c>
      <c r="D19" s="4">
        <f t="shared" si="0"/>
        <v>0.80386119407580747</v>
      </c>
      <c r="E19" s="4">
        <f t="shared" si="0"/>
        <v>0.8533201232287807</v>
      </c>
      <c r="F19" s="4">
        <f t="shared" si="0"/>
        <v>0.85057251908396947</v>
      </c>
      <c r="G19" s="4">
        <f t="shared" si="0"/>
        <v>0.8439198148774083</v>
      </c>
      <c r="H19" s="4">
        <f t="shared" si="0"/>
        <v>0.82221692238386734</v>
      </c>
      <c r="I19" s="4">
        <f t="shared" si="0"/>
        <v>0.84915624769718256</v>
      </c>
      <c r="J19" s="4">
        <f t="shared" si="0"/>
        <v>0.85519964896884604</v>
      </c>
      <c r="K19" s="4">
        <f t="shared" si="0"/>
        <v>0.83338584967399476</v>
      </c>
      <c r="L19" s="4">
        <f t="shared" si="0"/>
        <v>0.83455518009575047</v>
      </c>
      <c r="M19" s="4">
        <f t="shared" si="0"/>
        <v>0.85448255722532962</v>
      </c>
      <c r="N19" s="4">
        <f t="shared" si="0"/>
        <v>0.8508205998868138</v>
      </c>
      <c r="O19" s="4">
        <f t="shared" si="0"/>
        <v>0.85300511649355493</v>
      </c>
      <c r="P19" s="4">
        <f t="shared" si="0"/>
        <v>0.81795500011238731</v>
      </c>
    </row>
    <row r="20" spans="2:16" x14ac:dyDescent="0.25">
      <c r="B20" t="s">
        <v>373</v>
      </c>
      <c r="C20" s="8">
        <f t="shared" ref="C20:P20" si="1">C8/C5/10</f>
        <v>8.5696856767571852</v>
      </c>
      <c r="D20" s="8">
        <f t="shared" si="1"/>
        <v>8.2398712935308076</v>
      </c>
      <c r="E20" s="8">
        <f t="shared" si="1"/>
        <v>8.6445824023531408</v>
      </c>
      <c r="F20" s="8">
        <f t="shared" si="1"/>
        <v>8.8636723009814613</v>
      </c>
      <c r="G20" s="8">
        <f t="shared" si="1"/>
        <v>8.6355866982137748</v>
      </c>
      <c r="H20" s="8">
        <f t="shared" si="1"/>
        <v>8.0290378143466619</v>
      </c>
      <c r="I20" s="8">
        <f t="shared" si="1"/>
        <v>8.0746776055611509</v>
      </c>
      <c r="J20" s="8">
        <f t="shared" si="1"/>
        <v>8.2764857881136944</v>
      </c>
      <c r="K20" s="8">
        <f t="shared" si="1"/>
        <v>8.2667207988947329</v>
      </c>
      <c r="L20" s="8">
        <f t="shared" si="1"/>
        <v>8.024440307281024</v>
      </c>
      <c r="M20" s="8">
        <f t="shared" si="1"/>
        <v>8.6625311678684547</v>
      </c>
      <c r="N20" s="8">
        <f t="shared" si="1"/>
        <v>8.9395540464063394</v>
      </c>
      <c r="O20" s="8">
        <f t="shared" si="1"/>
        <v>9.1148070884296963</v>
      </c>
      <c r="P20" s="8">
        <f t="shared" si="1"/>
        <v>9.4015104857380472</v>
      </c>
    </row>
    <row r="21" spans="2:16" x14ac:dyDescent="0.25">
      <c r="B21" t="s">
        <v>111</v>
      </c>
      <c r="C21" s="8">
        <f t="shared" ref="C21:P21" si="2">C11/C5/10</f>
        <v>3.2371903350948465</v>
      </c>
      <c r="D21" s="8">
        <f t="shared" si="2"/>
        <v>2.6188471841610985</v>
      </c>
      <c r="E21" s="8">
        <f t="shared" si="2"/>
        <v>2.6820742710071555</v>
      </c>
      <c r="F21" s="8">
        <f t="shared" si="2"/>
        <v>2.9679307524536531</v>
      </c>
      <c r="G21" s="8">
        <f t="shared" si="2"/>
        <v>2.6634070876992277</v>
      </c>
      <c r="H21" s="8">
        <f t="shared" si="2"/>
        <v>2.6299202374327582</v>
      </c>
      <c r="I21" s="8">
        <f t="shared" si="2"/>
        <v>2.5132249269239271</v>
      </c>
      <c r="J21" s="8">
        <f t="shared" si="2"/>
        <v>2.2673029106333185</v>
      </c>
      <c r="K21" s="8">
        <f t="shared" si="2"/>
        <v>2.3607218169037982</v>
      </c>
      <c r="L21" s="8">
        <f t="shared" si="2"/>
        <v>2.1701758433767346</v>
      </c>
      <c r="M21" s="8">
        <f t="shared" si="2"/>
        <v>2.1914324864658448</v>
      </c>
      <c r="N21" s="8">
        <f t="shared" si="2"/>
        <v>2.192405206564799</v>
      </c>
      <c r="O21" s="8">
        <f t="shared" si="2"/>
        <v>2.2770372647620722</v>
      </c>
      <c r="P21" s="8">
        <f t="shared" si="2"/>
        <v>3.8485445840544856</v>
      </c>
    </row>
    <row r="22" spans="2:16" x14ac:dyDescent="0.25">
      <c r="B22" t="s">
        <v>28</v>
      </c>
      <c r="C22" s="8">
        <f t="shared" ref="C22:P22" si="3">(C12-C11)/C5/10</f>
        <v>4.4311451874026329</v>
      </c>
      <c r="D22" s="8">
        <f t="shared" si="3"/>
        <v>4.7858638421036428</v>
      </c>
      <c r="E22" s="8">
        <f t="shared" si="3"/>
        <v>4.8053652742031279</v>
      </c>
      <c r="F22" s="8">
        <f t="shared" si="3"/>
        <v>4.9348418756815704</v>
      </c>
      <c r="G22" s="8">
        <f t="shared" si="3"/>
        <v>4.7691297678167492</v>
      </c>
      <c r="H22" s="8">
        <f t="shared" si="3"/>
        <v>4.6735803058006731</v>
      </c>
      <c r="I22" s="8">
        <f t="shared" si="3"/>
        <v>4.4304905308147671</v>
      </c>
      <c r="J22" s="8">
        <f t="shared" si="3"/>
        <v>4.8798035200624055</v>
      </c>
      <c r="K22" s="8">
        <f t="shared" si="3"/>
        <v>4.5165838524371624</v>
      </c>
      <c r="L22" s="8">
        <f t="shared" si="3"/>
        <v>4.8195776533784533</v>
      </c>
      <c r="M22" s="8">
        <f t="shared" si="3"/>
        <v>4.9036509227935392</v>
      </c>
      <c r="N22" s="8">
        <f t="shared" si="3"/>
        <v>5.2505262104107304</v>
      </c>
      <c r="O22" s="8">
        <f t="shared" si="3"/>
        <v>5.0315751334021384</v>
      </c>
      <c r="P22" s="8">
        <f t="shared" si="3"/>
        <v>5.0428047467463859</v>
      </c>
    </row>
    <row r="23" spans="2:16" x14ac:dyDescent="0.25">
      <c r="B23" t="s">
        <v>104</v>
      </c>
      <c r="C23" s="22">
        <f t="shared" ref="C23:P23" si="4">C7/C5*1000</f>
        <v>8.705219515263158</v>
      </c>
      <c r="D23" s="22">
        <f t="shared" si="4"/>
        <v>8.7662037749792159</v>
      </c>
      <c r="E23" s="22">
        <f t="shared" si="4"/>
        <v>8.6545804225471628</v>
      </c>
      <c r="F23" s="22">
        <f t="shared" si="4"/>
        <v>8.7041984732824424</v>
      </c>
      <c r="G23" s="22">
        <f t="shared" si="4"/>
        <v>8.6061204856867999</v>
      </c>
      <c r="H23" s="22">
        <f t="shared" si="4"/>
        <v>8.6652357103108351</v>
      </c>
      <c r="I23" s="22">
        <f t="shared" si="4"/>
        <v>8.5234948785340574</v>
      </c>
      <c r="J23" s="22">
        <f t="shared" si="4"/>
        <v>8.6295158695334209</v>
      </c>
      <c r="K23" s="22">
        <f t="shared" si="4"/>
        <v>8.4349322539205467</v>
      </c>
      <c r="L23" s="22">
        <f t="shared" si="4"/>
        <v>8.4952993297160297</v>
      </c>
      <c r="M23" s="22">
        <f t="shared" si="4"/>
        <v>8.3829323629175381</v>
      </c>
      <c r="N23" s="22">
        <f t="shared" si="4"/>
        <v>8.509767968307866</v>
      </c>
      <c r="O23" s="22">
        <f t="shared" si="4"/>
        <v>8.4109664243834956</v>
      </c>
      <c r="P23" s="22">
        <f t="shared" si="4"/>
        <v>8.3352498370383685</v>
      </c>
    </row>
    <row r="24" spans="2:16" x14ac:dyDescent="0.25">
      <c r="B24" t="s">
        <v>374</v>
      </c>
      <c r="C24" s="15">
        <f t="shared" ref="C24:P24" si="5">C11/C7/1000*42</f>
        <v>156.18445213885389</v>
      </c>
      <c r="D24" s="15">
        <f t="shared" si="5"/>
        <v>125.47230769230771</v>
      </c>
      <c r="E24" s="15">
        <f t="shared" si="5"/>
        <v>130.15896078431371</v>
      </c>
      <c r="F24" s="15">
        <f t="shared" si="5"/>
        <v>143.21030475772858</v>
      </c>
      <c r="G24" s="15">
        <f t="shared" si="5"/>
        <v>129.98086404833839</v>
      </c>
      <c r="H24" s="15">
        <f t="shared" si="5"/>
        <v>127.47102752293578</v>
      </c>
      <c r="I24" s="15">
        <f t="shared" si="5"/>
        <v>123.84057060518731</v>
      </c>
      <c r="J24" s="15">
        <f t="shared" si="5"/>
        <v>110.35001694915255</v>
      </c>
      <c r="K24" s="15">
        <f t="shared" si="5"/>
        <v>117.54725862068965</v>
      </c>
      <c r="L24" s="15">
        <f t="shared" si="5"/>
        <v>107.29155252128074</v>
      </c>
      <c r="M24" s="15">
        <f t="shared" si="5"/>
        <v>109.79471197776961</v>
      </c>
      <c r="N24" s="15">
        <f t="shared" si="5"/>
        <v>108.20626251931932</v>
      </c>
      <c r="O24" s="15">
        <f t="shared" si="5"/>
        <v>113.70342038550807</v>
      </c>
      <c r="P24" s="15">
        <f t="shared" si="5"/>
        <v>193.92204875735428</v>
      </c>
    </row>
    <row r="25" spans="2:16" x14ac:dyDescent="0.25">
      <c r="B25" t="s">
        <v>119</v>
      </c>
      <c r="C25" s="4">
        <f t="shared" ref="C25:P25" si="6">C14/C8</f>
        <v>0.10517890483478989</v>
      </c>
      <c r="D25" s="4">
        <f t="shared" si="6"/>
        <v>0.10135598451904906</v>
      </c>
      <c r="E25" s="4">
        <f t="shared" si="6"/>
        <v>0.13385757729926565</v>
      </c>
      <c r="F25" s="4">
        <f t="shared" si="6"/>
        <v>0.10840875431956558</v>
      </c>
      <c r="G25" s="4">
        <f t="shared" si="6"/>
        <v>0.13931304087846658</v>
      </c>
      <c r="H25" s="4">
        <f t="shared" si="6"/>
        <v>9.0364161670381832E-2</v>
      </c>
      <c r="I25" s="4">
        <f t="shared" si="6"/>
        <v>0.1400628239378307</v>
      </c>
      <c r="J25" s="4">
        <f t="shared" si="6"/>
        <v>0.13645638817382288</v>
      </c>
      <c r="K25" s="4">
        <f t="shared" si="6"/>
        <v>0.16807331024649322</v>
      </c>
      <c r="L25" s="4">
        <f t="shared" si="6"/>
        <v>0.12894192877065924</v>
      </c>
      <c r="M25" s="4">
        <f t="shared" si="6"/>
        <v>0.1809456991535148</v>
      </c>
      <c r="N25" s="4">
        <f t="shared" si="6"/>
        <v>0.16741580415104096</v>
      </c>
      <c r="O25" s="4">
        <f t="shared" si="6"/>
        <v>0.19816049563553173</v>
      </c>
      <c r="P25" s="4">
        <f t="shared" si="6"/>
        <v>5.426374365173367E-2</v>
      </c>
    </row>
    <row r="26" spans="2:16" x14ac:dyDescent="0.25">
      <c r="B26" t="s">
        <v>122</v>
      </c>
      <c r="C26" s="4">
        <f t="shared" ref="C26:P26" si="7">C15/C8</f>
        <v>0.20429070761351623</v>
      </c>
      <c r="D26" s="4">
        <f t="shared" si="7"/>
        <v>0.20875480136304714</v>
      </c>
      <c r="E26" s="4">
        <f t="shared" si="7"/>
        <v>0.23755940277411977</v>
      </c>
      <c r="F26" s="4">
        <f t="shared" si="7"/>
        <v>0.2077423839542076</v>
      </c>
      <c r="G26" s="4">
        <f t="shared" si="7"/>
        <v>0.2395200962986849</v>
      </c>
      <c r="H26" s="4">
        <f t="shared" si="7"/>
        <v>0.20415899044132549</v>
      </c>
      <c r="I26" s="4">
        <f t="shared" si="7"/>
        <v>0.25183479847484941</v>
      </c>
      <c r="J26" s="4">
        <f t="shared" si="7"/>
        <v>0.25504244252145691</v>
      </c>
      <c r="K26" s="4">
        <f t="shared" si="7"/>
        <v>0.28210072066477432</v>
      </c>
      <c r="L26" s="4">
        <f t="shared" si="7"/>
        <v>0.2592397413634836</v>
      </c>
      <c r="M26" s="4">
        <f t="shared" si="7"/>
        <v>0.29812444522584997</v>
      </c>
      <c r="N26" s="4">
        <f t="shared" si="7"/>
        <v>0.28594259845690911</v>
      </c>
      <c r="O26" s="4">
        <f t="shared" si="7"/>
        <v>0.31675376651010217</v>
      </c>
      <c r="P26" s="4">
        <f t="shared" si="7"/>
        <v>0.17047246169044511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Resumen</vt:lpstr>
      <vt:lpstr>Supuestos</vt:lpstr>
      <vt:lpstr>Proyeccion</vt:lpstr>
      <vt:lpstr>Valoracion</vt:lpstr>
      <vt:lpstr>Escenarios</vt:lpstr>
      <vt:lpstr>Sensibilidad</vt:lpstr>
      <vt:lpstr>Trafico_Mensual</vt:lpstr>
      <vt:lpstr>Jet_Fuel</vt:lpstr>
      <vt:lpstr>Hist_Trim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bolsachile</dc:creator>
  <cp:lastModifiedBy>bolsachile</cp:lastModifiedBy>
  <dcterms:created xsi:type="dcterms:W3CDTF">2026-09-25T03:34:07Z</dcterms:created>
  <dcterms:modified xsi:type="dcterms:W3CDTF">2026-09-25T03:34:22Z</dcterms:modified>
</cp:coreProperties>
</file>